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9555" windowHeight="723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M4" i="1"/>
  <c r="M5"/>
  <c r="M6"/>
  <c r="M7"/>
  <c r="M8"/>
  <c r="M9"/>
  <c r="M10"/>
  <c r="M11"/>
  <c r="M3"/>
  <c r="L31"/>
  <c r="L32"/>
  <c r="L33"/>
  <c r="L34"/>
  <c r="L35"/>
  <c r="L36"/>
  <c r="L37"/>
  <c r="L38"/>
  <c r="L39"/>
  <c r="L30"/>
  <c r="K31"/>
  <c r="K32"/>
  <c r="K33"/>
  <c r="K34"/>
  <c r="K35"/>
  <c r="K36"/>
  <c r="K37"/>
  <c r="K38"/>
  <c r="K39"/>
  <c r="K30"/>
  <c r="G36"/>
  <c r="H36" s="1"/>
  <c r="I36" s="1"/>
  <c r="J36" s="1"/>
  <c r="G34"/>
  <c r="H34" s="1"/>
  <c r="I34" s="1"/>
  <c r="J34" s="1"/>
  <c r="G32"/>
  <c r="H32" s="1"/>
  <c r="I32" s="1"/>
  <c r="J32" s="1"/>
  <c r="G30"/>
  <c r="H30" s="1"/>
  <c r="I30" s="1"/>
  <c r="J30" s="1"/>
  <c r="F39"/>
  <c r="F38"/>
  <c r="F37"/>
  <c r="F36"/>
  <c r="F35"/>
  <c r="F34"/>
  <c r="F33"/>
  <c r="F32"/>
  <c r="F31"/>
  <c r="F30"/>
  <c r="B39"/>
  <c r="G39" s="1"/>
  <c r="H39" s="1"/>
  <c r="I39" s="1"/>
  <c r="J39" s="1"/>
  <c r="B38"/>
  <c r="G38" s="1"/>
  <c r="H38" s="1"/>
  <c r="I38" s="1"/>
  <c r="J38" s="1"/>
  <c r="B37"/>
  <c r="G37" s="1"/>
  <c r="H37" s="1"/>
  <c r="I37" s="1"/>
  <c r="J37" s="1"/>
  <c r="B36"/>
  <c r="B35"/>
  <c r="G35" s="1"/>
  <c r="H35" s="1"/>
  <c r="I35" s="1"/>
  <c r="J35" s="1"/>
  <c r="B34"/>
  <c r="B33"/>
  <c r="G33" s="1"/>
  <c r="H33" s="1"/>
  <c r="I33" s="1"/>
  <c r="J33" s="1"/>
  <c r="B32"/>
  <c r="B31"/>
  <c r="G31" s="1"/>
  <c r="H31" s="1"/>
  <c r="I31" s="1"/>
  <c r="J31" s="1"/>
  <c r="B30"/>
  <c r="L17"/>
  <c r="L18"/>
  <c r="L19"/>
  <c r="L20"/>
  <c r="L21"/>
  <c r="L22"/>
  <c r="L23"/>
  <c r="L24"/>
  <c r="L25"/>
  <c r="L16"/>
  <c r="K25"/>
  <c r="F25"/>
  <c r="B25"/>
  <c r="K24"/>
  <c r="F24"/>
  <c r="B24"/>
  <c r="K23"/>
  <c r="F23"/>
  <c r="B23"/>
  <c r="K22"/>
  <c r="F22"/>
  <c r="B22"/>
  <c r="K21"/>
  <c r="F21"/>
  <c r="B21"/>
  <c r="K20"/>
  <c r="F20"/>
  <c r="B20"/>
  <c r="K19"/>
  <c r="F19"/>
  <c r="B19"/>
  <c r="K18"/>
  <c r="F18"/>
  <c r="B18"/>
  <c r="K17"/>
  <c r="H17"/>
  <c r="F17"/>
  <c r="B17"/>
  <c r="K16"/>
  <c r="F16"/>
  <c r="B16"/>
  <c r="K2"/>
  <c r="L7"/>
  <c r="L3"/>
  <c r="K7"/>
  <c r="K3"/>
  <c r="L11"/>
  <c r="L10"/>
  <c r="L9"/>
  <c r="L8"/>
  <c r="L6"/>
  <c r="L5"/>
  <c r="L4"/>
  <c r="K11"/>
  <c r="K10"/>
  <c r="K9"/>
  <c r="K8"/>
  <c r="K6"/>
  <c r="K5"/>
  <c r="K4"/>
</calcChain>
</file>

<file path=xl/sharedStrings.xml><?xml version="1.0" encoding="utf-8"?>
<sst xmlns="http://schemas.openxmlformats.org/spreadsheetml/2006/main" count="59" uniqueCount="35">
  <si>
    <t>TE</t>
  </si>
  <si>
    <t>Emax (N)</t>
  </si>
  <si>
    <t>It (N.s)</t>
  </si>
  <si>
    <t>Emed (N)</t>
  </si>
  <si>
    <t>tq (s)</t>
  </si>
  <si>
    <t>r (mm/s)</t>
  </si>
  <si>
    <t>mdot (g/s)</t>
  </si>
  <si>
    <t>Ve (m/s)</t>
  </si>
  <si>
    <t>70/30</t>
  </si>
  <si>
    <t>60/40</t>
  </si>
  <si>
    <t>Tubeira</t>
  </si>
  <si>
    <t>conv-longa</t>
  </si>
  <si>
    <t>curta</t>
  </si>
  <si>
    <t>convencional</t>
  </si>
  <si>
    <t>Dg (mm)</t>
  </si>
  <si>
    <t>Ds (mm)</t>
  </si>
  <si>
    <t>P0 (bar)</t>
  </si>
  <si>
    <t>T0 (K)</t>
  </si>
  <si>
    <t>Ps (bar)</t>
  </si>
  <si>
    <t>Cf</t>
  </si>
  <si>
    <t>Ts (K)</t>
  </si>
  <si>
    <t>R (J/kg/K)</t>
  </si>
  <si>
    <t>gamma</t>
  </si>
  <si>
    <t>M</t>
  </si>
  <si>
    <t>Epsilon</t>
  </si>
  <si>
    <t>u* (m/s)</t>
  </si>
  <si>
    <t>Resultados Força_Empuxo_v1.2 Ve</t>
  </si>
  <si>
    <t>Resultados Força_Empuxo_v1.2 Fm</t>
  </si>
  <si>
    <t>Prop</t>
  </si>
  <si>
    <t>Cf (otm)</t>
  </si>
  <si>
    <t>Fotm (N)</t>
  </si>
  <si>
    <t>Votm (m/s)</t>
  </si>
  <si>
    <t>ItOTM (N.s)</t>
  </si>
  <si>
    <t>Ms</t>
  </si>
  <si>
    <t>Ee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</si>
</sst>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>
      <selection activeCell="B50" sqref="B40:B50"/>
    </sheetView>
  </sheetViews>
  <sheetFormatPr defaultColWidth="2.5703125" defaultRowHeight="15"/>
  <cols>
    <col min="1" max="1" width="3" bestFit="1" customWidth="1"/>
    <col min="2" max="2" width="9" bestFit="1" customWidth="1"/>
    <col min="3" max="3" width="8.5703125" bestFit="1" customWidth="1"/>
    <col min="4" max="4" width="9.5703125" bestFit="1" customWidth="1"/>
    <col min="5" max="5" width="7.42578125" bestFit="1" customWidth="1"/>
    <col min="6" max="6" width="8.7109375" bestFit="1" customWidth="1"/>
    <col min="7" max="7" width="10.28515625" bestFit="1" customWidth="1"/>
    <col min="8" max="8" width="8.85546875" bestFit="1" customWidth="1"/>
    <col min="9" max="9" width="11.140625" bestFit="1" customWidth="1"/>
    <col min="10" max="10" width="12.7109375" bestFit="1" customWidth="1"/>
    <col min="11" max="11" width="8.5703125" bestFit="1" customWidth="1"/>
    <col min="12" max="12" width="8.42578125" bestFit="1" customWidth="1"/>
    <col min="13" max="13" width="6.42578125" customWidth="1"/>
  </cols>
  <sheetData>
    <row r="1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28</v>
      </c>
      <c r="J1" s="3" t="s">
        <v>10</v>
      </c>
      <c r="K1" s="3" t="s">
        <v>14</v>
      </c>
      <c r="L1" s="3" t="s">
        <v>15</v>
      </c>
      <c r="M1" s="3" t="s">
        <v>34</v>
      </c>
    </row>
    <row r="2" spans="1:13">
      <c r="A2" s="4">
        <v>10</v>
      </c>
      <c r="B2" s="4">
        <v>38.299999999999997</v>
      </c>
      <c r="C2" s="4">
        <v>37.200000000000003</v>
      </c>
      <c r="D2" s="4">
        <v>22.7</v>
      </c>
      <c r="E2" s="4">
        <v>1.64</v>
      </c>
      <c r="F2" s="4">
        <v>4</v>
      </c>
      <c r="G2" s="4">
        <v>64</v>
      </c>
      <c r="H2" s="4">
        <v>360</v>
      </c>
      <c r="I2" s="5" t="s">
        <v>8</v>
      </c>
      <c r="J2" s="4" t="s">
        <v>11</v>
      </c>
      <c r="K2" s="4">
        <f>AVERAGE(11.5,12.5)</f>
        <v>12</v>
      </c>
      <c r="L2" s="4"/>
      <c r="M2" s="4"/>
    </row>
    <row r="3" spans="1:13">
      <c r="A3" s="4">
        <v>12</v>
      </c>
      <c r="B3" s="4">
        <v>81.7</v>
      </c>
      <c r="C3" s="4">
        <v>46.3</v>
      </c>
      <c r="D3" s="4">
        <v>38.200000000000003</v>
      </c>
      <c r="E3" s="4">
        <v>1.21</v>
      </c>
      <c r="F3" s="4">
        <v>5.4</v>
      </c>
      <c r="G3" s="4">
        <v>96</v>
      </c>
      <c r="H3" s="4">
        <v>400</v>
      </c>
      <c r="I3" s="5" t="s">
        <v>8</v>
      </c>
      <c r="J3" s="4" t="s">
        <v>12</v>
      </c>
      <c r="K3" s="4">
        <f>AVERAGE(11.4,12)</f>
        <v>11.7</v>
      </c>
      <c r="L3" s="4">
        <f>AVERAGE(33.7,33.2)</f>
        <v>33.450000000000003</v>
      </c>
      <c r="M3" s="4">
        <f>L3*L3/K3/K3</f>
        <v>8.1737343852728479</v>
      </c>
    </row>
    <row r="4" spans="1:13">
      <c r="A4" s="4">
        <v>16</v>
      </c>
      <c r="B4" s="4">
        <v>96.8</v>
      </c>
      <c r="C4" s="4">
        <v>35.6</v>
      </c>
      <c r="D4" s="4">
        <v>58.4</v>
      </c>
      <c r="E4" s="4">
        <v>0.61</v>
      </c>
      <c r="F4" s="4">
        <v>11</v>
      </c>
      <c r="G4" s="4">
        <v>190</v>
      </c>
      <c r="H4" s="4">
        <v>310</v>
      </c>
      <c r="I4" s="5" t="s">
        <v>8</v>
      </c>
      <c r="J4" s="4" t="s">
        <v>13</v>
      </c>
      <c r="K4" s="4">
        <f>AVERAGE(12,12,12,11.7,11.9)</f>
        <v>11.92</v>
      </c>
      <c r="L4" s="4">
        <f>AVERAGE(32.5,32.6,33.2,30.6,31.3)</f>
        <v>32.040000000000006</v>
      </c>
      <c r="M4" s="4">
        <f t="shared" ref="M4:M11" si="0">L4*L4/K4/K4</f>
        <v>7.2249110400432439</v>
      </c>
    </row>
    <row r="5" spans="1:13">
      <c r="A5" s="4">
        <v>19</v>
      </c>
      <c r="B5" s="4">
        <v>108</v>
      </c>
      <c r="C5" s="4">
        <v>79</v>
      </c>
      <c r="D5" s="4">
        <v>80.599999999999994</v>
      </c>
      <c r="E5" s="4">
        <v>0.98</v>
      </c>
      <c r="F5" s="4">
        <v>6.7</v>
      </c>
      <c r="G5" s="4">
        <v>121</v>
      </c>
      <c r="H5" s="4">
        <v>670</v>
      </c>
      <c r="I5" s="5" t="s">
        <v>8</v>
      </c>
      <c r="J5" s="4" t="s">
        <v>13</v>
      </c>
      <c r="K5" s="4">
        <f t="shared" ref="K5:K6" si="1">AVERAGE(12,12,12,11.7,11.9)</f>
        <v>11.92</v>
      </c>
      <c r="L5" s="4">
        <f t="shared" ref="L5:L6" si="2">AVERAGE(32.5,32.6,33.2,30.6,31.3)</f>
        <v>32.040000000000006</v>
      </c>
      <c r="M5" s="4">
        <f t="shared" si="0"/>
        <v>7.2249110400432439</v>
      </c>
    </row>
    <row r="6" spans="1:13">
      <c r="A6" s="4">
        <v>20</v>
      </c>
      <c r="B6" s="4">
        <v>107</v>
      </c>
      <c r="C6" s="4">
        <v>76.8</v>
      </c>
      <c r="D6" s="4">
        <v>68.599999999999994</v>
      </c>
      <c r="E6" s="4">
        <v>1.1200000000000001</v>
      </c>
      <c r="F6" s="4">
        <v>5.9</v>
      </c>
      <c r="G6" s="4">
        <v>101</v>
      </c>
      <c r="H6" s="4">
        <v>680</v>
      </c>
      <c r="I6" s="5" t="s">
        <v>8</v>
      </c>
      <c r="J6" s="4" t="s">
        <v>13</v>
      </c>
      <c r="K6" s="4">
        <f t="shared" si="1"/>
        <v>11.92</v>
      </c>
      <c r="L6" s="4">
        <f t="shared" si="2"/>
        <v>32.040000000000006</v>
      </c>
      <c r="M6" s="4">
        <f t="shared" si="0"/>
        <v>7.2249110400432439</v>
      </c>
    </row>
    <row r="7" spans="1:13">
      <c r="A7" s="4">
        <v>21</v>
      </c>
      <c r="B7" s="4">
        <v>121</v>
      </c>
      <c r="C7" s="4">
        <v>89</v>
      </c>
      <c r="D7" s="4">
        <v>81.7</v>
      </c>
      <c r="E7" s="4">
        <v>1.0900000000000001</v>
      </c>
      <c r="F7" s="4">
        <v>6.1</v>
      </c>
      <c r="G7" s="4">
        <v>108</v>
      </c>
      <c r="H7" s="4">
        <v>760</v>
      </c>
      <c r="I7" s="5" t="s">
        <v>8</v>
      </c>
      <c r="J7" s="4" t="s">
        <v>12</v>
      </c>
      <c r="K7" s="4">
        <f>AVERAGE(11.4,12)</f>
        <v>11.7</v>
      </c>
      <c r="L7" s="4">
        <f>AVERAGE(33.7,33.2)</f>
        <v>33.450000000000003</v>
      </c>
      <c r="M7" s="4">
        <f t="shared" si="0"/>
        <v>8.1737343852728479</v>
      </c>
    </row>
    <row r="8" spans="1:13">
      <c r="A8" s="4">
        <v>24</v>
      </c>
      <c r="B8" s="4">
        <v>85.1</v>
      </c>
      <c r="C8" s="4">
        <v>51.9</v>
      </c>
      <c r="D8" s="4">
        <v>40.200000000000003</v>
      </c>
      <c r="E8" s="4">
        <v>1.29</v>
      </c>
      <c r="F8" s="4">
        <v>5.0999999999999996</v>
      </c>
      <c r="G8" s="4">
        <v>71</v>
      </c>
      <c r="H8" s="4">
        <v>570</v>
      </c>
      <c r="I8" s="6" t="s">
        <v>9</v>
      </c>
      <c r="J8" s="4" t="s">
        <v>13</v>
      </c>
      <c r="K8" s="4">
        <f t="shared" ref="K8:K11" si="3">AVERAGE(12,12,12,11.7,11.9)</f>
        <v>11.92</v>
      </c>
      <c r="L8" s="4">
        <f t="shared" ref="L8:L11" si="4">AVERAGE(32.5,32.6,33.2,30.6,31.3)</f>
        <v>32.040000000000006</v>
      </c>
      <c r="M8" s="4">
        <f t="shared" si="0"/>
        <v>7.2249110400432439</v>
      </c>
    </row>
    <row r="9" spans="1:13">
      <c r="A9" s="4">
        <v>28</v>
      </c>
      <c r="B9" s="4">
        <v>60.4</v>
      </c>
      <c r="C9" s="4">
        <v>31.6</v>
      </c>
      <c r="D9" s="4">
        <v>32.6</v>
      </c>
      <c r="E9" s="4">
        <v>0.97</v>
      </c>
      <c r="F9" s="4">
        <v>6.8</v>
      </c>
      <c r="G9" s="4">
        <v>86</v>
      </c>
      <c r="H9" s="4">
        <v>380</v>
      </c>
      <c r="I9" s="6" t="s">
        <v>9</v>
      </c>
      <c r="J9" s="4" t="s">
        <v>13</v>
      </c>
      <c r="K9" s="4">
        <f t="shared" si="3"/>
        <v>11.92</v>
      </c>
      <c r="L9" s="4">
        <f t="shared" si="4"/>
        <v>32.040000000000006</v>
      </c>
      <c r="M9" s="4">
        <f t="shared" si="0"/>
        <v>7.2249110400432439</v>
      </c>
    </row>
    <row r="10" spans="1:13">
      <c r="A10" s="4">
        <v>29</v>
      </c>
      <c r="B10" s="4">
        <v>109</v>
      </c>
      <c r="C10" s="4">
        <v>56.9</v>
      </c>
      <c r="D10" s="4">
        <v>83.7</v>
      </c>
      <c r="E10" s="4">
        <v>0.68</v>
      </c>
      <c r="F10" s="4">
        <v>9.6999999999999993</v>
      </c>
      <c r="G10" s="4">
        <v>122</v>
      </c>
      <c r="H10" s="4">
        <v>690</v>
      </c>
      <c r="I10" s="6" t="s">
        <v>9</v>
      </c>
      <c r="J10" s="4" t="s">
        <v>13</v>
      </c>
      <c r="K10" s="4">
        <f t="shared" si="3"/>
        <v>11.92</v>
      </c>
      <c r="L10" s="4">
        <f t="shared" si="4"/>
        <v>32.040000000000006</v>
      </c>
      <c r="M10" s="4">
        <f t="shared" si="0"/>
        <v>7.2249110400432439</v>
      </c>
    </row>
    <row r="11" spans="1:13">
      <c r="A11" s="4">
        <v>30</v>
      </c>
      <c r="B11" s="4">
        <v>55.3</v>
      </c>
      <c r="C11" s="4">
        <v>30.5</v>
      </c>
      <c r="D11" s="4">
        <v>27</v>
      </c>
      <c r="E11" s="4">
        <v>1.1299999999999999</v>
      </c>
      <c r="F11" s="4">
        <v>5.8</v>
      </c>
      <c r="G11" s="4">
        <v>74</v>
      </c>
      <c r="H11" s="4">
        <v>360</v>
      </c>
      <c r="I11" s="6" t="s">
        <v>9</v>
      </c>
      <c r="J11" s="4" t="s">
        <v>13</v>
      </c>
      <c r="K11" s="4">
        <f t="shared" si="3"/>
        <v>11.92</v>
      </c>
      <c r="L11" s="4">
        <f t="shared" si="4"/>
        <v>32.040000000000006</v>
      </c>
      <c r="M11" s="4">
        <f t="shared" si="0"/>
        <v>7.2249110400432439</v>
      </c>
    </row>
    <row r="13" spans="1:13">
      <c r="A13" s="1" t="s">
        <v>26</v>
      </c>
      <c r="B13" s="1"/>
      <c r="C13" s="1"/>
      <c r="D13" s="1"/>
      <c r="E13" s="1"/>
      <c r="F13" s="1"/>
      <c r="G13" s="1"/>
    </row>
    <row r="15" spans="1:13">
      <c r="A15" s="3" t="s">
        <v>0</v>
      </c>
      <c r="B15" s="3" t="s">
        <v>16</v>
      </c>
      <c r="C15" s="3" t="s">
        <v>17</v>
      </c>
      <c r="D15" s="3" t="s">
        <v>21</v>
      </c>
      <c r="E15" s="3" t="s">
        <v>22</v>
      </c>
      <c r="F15" s="3" t="s">
        <v>18</v>
      </c>
      <c r="G15" s="3" t="s">
        <v>20</v>
      </c>
      <c r="H15" s="3" t="s">
        <v>19</v>
      </c>
      <c r="I15" s="3" t="s">
        <v>23</v>
      </c>
      <c r="J15" s="3" t="s">
        <v>24</v>
      </c>
      <c r="K15" s="3" t="s">
        <v>15</v>
      </c>
      <c r="L15" s="3" t="s">
        <v>25</v>
      </c>
    </row>
    <row r="16" spans="1:13">
      <c r="A16" s="4">
        <v>10</v>
      </c>
      <c r="B16" s="7">
        <f>235.489994203331/100</f>
        <v>2.3548999420333101</v>
      </c>
      <c r="C16" s="7">
        <v>1638.0619999999999</v>
      </c>
      <c r="D16" s="7">
        <v>195.16809561576</v>
      </c>
      <c r="E16" s="7">
        <v>1.0748650686085199</v>
      </c>
      <c r="F16" s="7">
        <f xml:space="preserve">     192.007111430847/100</f>
        <v>1.9200711143084701</v>
      </c>
      <c r="G16" s="7">
        <v>1614.9364825533401</v>
      </c>
      <c r="H16" s="7">
        <v>0.85231675256717399</v>
      </c>
      <c r="I16" s="7">
        <v>0.61850525104005905</v>
      </c>
      <c r="J16" s="7">
        <v>1.18321227008143</v>
      </c>
      <c r="K16" s="7">
        <f>0.01305306733652*1000</f>
        <v>13.05306733652</v>
      </c>
      <c r="L16" s="7">
        <f>SQRT(E16*D16*C16/(1+(E16-1)/2))</f>
        <v>575.52821939517048</v>
      </c>
      <c r="M16" s="2"/>
    </row>
    <row r="17" spans="1:13">
      <c r="A17" s="4">
        <v>12</v>
      </c>
      <c r="B17" s="7">
        <f xml:space="preserve">   358.273704830344/100</f>
        <v>3.5827370483034402</v>
      </c>
      <c r="C17" s="7">
        <v>1674.425</v>
      </c>
      <c r="D17" s="7">
        <v>192.90535922533499</v>
      </c>
      <c r="E17" s="7">
        <v>1.0706813139347799</v>
      </c>
      <c r="F17" s="7">
        <f>279.10173763301/100</f>
        <v>2.7910173763300996</v>
      </c>
      <c r="G17" s="7">
        <v>1647.0477334214399</v>
      </c>
      <c r="H17" s="7">
        <f>9.91714865819007/10</f>
        <v>0.99171486581900703</v>
      </c>
      <c r="I17" s="7">
        <v>0.68581130569872895</v>
      </c>
      <c r="J17" s="7">
        <v>1.1161642607217399</v>
      </c>
      <c r="K17" s="7">
        <f>0.0123608950181691*1000</f>
        <v>12.360895018169099</v>
      </c>
      <c r="L17" s="7">
        <f t="shared" ref="L17:L25" si="5">SQRT(E17*D17*C17/(1+(E17-1)/2))</f>
        <v>577.95426594952471</v>
      </c>
      <c r="M17" s="2"/>
    </row>
    <row r="18" spans="1:13">
      <c r="A18" s="4">
        <v>16</v>
      </c>
      <c r="B18" s="7">
        <f>446.502505034363/100</f>
        <v>4.4650250503436304</v>
      </c>
      <c r="C18" s="7">
        <v>1693.7339999999999</v>
      </c>
      <c r="D18" s="7">
        <v>191.696619069235</v>
      </c>
      <c r="E18" s="7">
        <v>1.0685336316360901</v>
      </c>
      <c r="F18" s="7">
        <f>384.809236135723/100</f>
        <v>3.8480923613572298</v>
      </c>
      <c r="G18" s="7">
        <v>1677.65738954679</v>
      </c>
      <c r="H18" s="7">
        <v>1.17205112255652</v>
      </c>
      <c r="I18" s="7">
        <v>0.52882104754821901</v>
      </c>
      <c r="J18" s="7">
        <v>1.3133267317800399</v>
      </c>
      <c r="K18" s="7">
        <f>0.0136603758126338*1000</f>
        <v>13.660375812633799</v>
      </c>
      <c r="L18" s="7">
        <f t="shared" si="5"/>
        <v>579.17209914153602</v>
      </c>
      <c r="M18" s="2"/>
    </row>
    <row r="19" spans="1:13">
      <c r="A19" s="4">
        <v>19</v>
      </c>
      <c r="B19" s="7">
        <f>668.757533113274/100</f>
        <v>6.6875753311327397</v>
      </c>
      <c r="C19" s="7">
        <v>1729.444</v>
      </c>
      <c r="D19" s="7">
        <v>189.45080967268501</v>
      </c>
      <c r="E19" s="7">
        <v>1.0647023837396701</v>
      </c>
      <c r="F19" s="7">
        <f>332.19186654947/100</f>
        <v>3.3219186654946999</v>
      </c>
      <c r="G19" s="7">
        <v>1657.4468676654201</v>
      </c>
      <c r="H19" s="7">
        <v>1.0800005148787299</v>
      </c>
      <c r="I19" s="7">
        <v>1.1587577425923701</v>
      </c>
      <c r="J19" s="7">
        <v>1.02336638754655</v>
      </c>
      <c r="K19" s="7">
        <f>1.20584595155224*10</f>
        <v>12.058459515522399</v>
      </c>
      <c r="L19" s="7">
        <f t="shared" si="5"/>
        <v>581.30206572613326</v>
      </c>
      <c r="M19" s="2"/>
    </row>
    <row r="20" spans="1:13">
      <c r="A20" s="4">
        <v>20</v>
      </c>
      <c r="B20" s="7">
        <f>580.70353530313/100</f>
        <v>5.8070353530313001</v>
      </c>
      <c r="C20" s="7">
        <v>1716.934</v>
      </c>
      <c r="D20" s="7">
        <v>190.23821242404401</v>
      </c>
      <c r="E20" s="7">
        <v>1.0660246353467799</v>
      </c>
      <c r="F20" s="7">
        <f>281.579018677613/100</f>
        <v>2.8157901867761304</v>
      </c>
      <c r="G20" s="7">
        <v>1641.6627993637701</v>
      </c>
      <c r="H20" s="7">
        <v>1.0585886994060201</v>
      </c>
      <c r="I20" s="7">
        <v>1.17851315702621</v>
      </c>
      <c r="J20" s="7">
        <v>1.02941908839292</v>
      </c>
      <c r="K20" s="7">
        <f xml:space="preserve">     0.0120940668247299/0.001</f>
        <v>12.094066824729898</v>
      </c>
      <c r="L20" s="7">
        <f t="shared" si="5"/>
        <v>580.57261828067635</v>
      </c>
      <c r="M20" s="2"/>
    </row>
    <row r="21" spans="1:13">
      <c r="A21" s="4">
        <v>21</v>
      </c>
      <c r="B21" s="7">
        <f>687.442547762162/100</f>
        <v>6.87442547762162</v>
      </c>
      <c r="C21" s="7">
        <v>1731.8879999999999</v>
      </c>
      <c r="D21" s="7">
        <v>189.29521501480599</v>
      </c>
      <c r="E21" s="7">
        <v>1.0644453668914899</v>
      </c>
      <c r="F21" s="7">
        <f>278.020213099759/100</f>
        <v>2.7802021309975902</v>
      </c>
      <c r="G21" s="7">
        <v>1639.5190775389799</v>
      </c>
      <c r="H21" s="7">
        <v>1.1054116652778001</v>
      </c>
      <c r="I21" s="7">
        <v>1.3222812784187199</v>
      </c>
      <c r="J21" s="7">
        <v>1.09477716999248</v>
      </c>
      <c r="K21" s="7">
        <f xml:space="preserve">     0.012241897189581/0.001</f>
        <v>12.241897189581</v>
      </c>
      <c r="L21" s="7">
        <f t="shared" si="5"/>
        <v>581.43973575179905</v>
      </c>
      <c r="M21" s="2"/>
    </row>
    <row r="22" spans="1:13">
      <c r="A22" s="4">
        <v>24</v>
      </c>
      <c r="B22" s="7">
        <f>378.135790272904/100</f>
        <v>3.7813579027290398</v>
      </c>
      <c r="C22" s="7">
        <v>1436.0050000000001</v>
      </c>
      <c r="D22" s="7">
        <v>226.053544478162</v>
      </c>
      <c r="E22" s="7">
        <v>1.05018321762603</v>
      </c>
      <c r="F22" s="7">
        <f>227.860147889305/100</f>
        <v>2.2786014788930502</v>
      </c>
      <c r="G22" s="7">
        <v>1401.6648787244301</v>
      </c>
      <c r="H22" s="7">
        <v>0.95265549302561803</v>
      </c>
      <c r="I22" s="7">
        <v>0.988131086836188</v>
      </c>
      <c r="J22" s="7">
        <v>1.0001380342925501</v>
      </c>
      <c r="K22" s="7">
        <f xml:space="preserve">     0.0119208226559959*1000</f>
        <v>11.920822655995899</v>
      </c>
      <c r="L22" s="7">
        <f t="shared" si="5"/>
        <v>576.67992623260568</v>
      </c>
      <c r="M22" s="2"/>
    </row>
    <row r="23" spans="1:13">
      <c r="A23" s="4">
        <v>28</v>
      </c>
      <c r="B23" s="7">
        <f>307.400412126586/100</f>
        <v>3.07400412126586</v>
      </c>
      <c r="C23" s="7">
        <v>1430.107</v>
      </c>
      <c r="D23" s="7">
        <v>226.43937765845499</v>
      </c>
      <c r="E23" s="7">
        <v>1.05069809764032</v>
      </c>
      <c r="F23" s="7">
        <f>245.669832162068/100</f>
        <v>2.4566983216206797</v>
      </c>
      <c r="G23" s="7">
        <v>1414.7219482110499</v>
      </c>
      <c r="H23" s="7">
        <v>0.95032195439503897</v>
      </c>
      <c r="I23" s="7">
        <v>0.65498763550449002</v>
      </c>
      <c r="J23" s="7">
        <v>1.14523412467575</v>
      </c>
      <c r="K23" s="7">
        <f>0.0127562609699053*1000</f>
        <v>12.7562609699053</v>
      </c>
      <c r="L23" s="7">
        <f t="shared" si="5"/>
        <v>576.05420216887137</v>
      </c>
      <c r="M23" s="2"/>
    </row>
    <row r="24" spans="1:13">
      <c r="A24" s="4">
        <v>29</v>
      </c>
      <c r="B24" s="7">
        <f>689.881009578904/100</f>
        <v>6.8988100957890399</v>
      </c>
      <c r="C24" s="7">
        <v>1450.19</v>
      </c>
      <c r="D24" s="7">
        <v>225.122640705131</v>
      </c>
      <c r="E24" s="7">
        <v>1.0489550663123199</v>
      </c>
      <c r="F24" s="7">
        <f>328.540911255747/100</f>
        <v>3.28540911255747</v>
      </c>
      <c r="G24" s="7">
        <v>1400.8397031144</v>
      </c>
      <c r="H24" s="7">
        <v>1.0871985777089099</v>
      </c>
      <c r="I24" s="7">
        <v>1.1996839260123899</v>
      </c>
      <c r="J24" s="7">
        <v>1.0370894778130799</v>
      </c>
      <c r="K24" s="7">
        <f xml:space="preserve">     0.0121390407520669*1000</f>
        <v>12.139040752066901</v>
      </c>
      <c r="L24" s="7">
        <f t="shared" si="5"/>
        <v>578.16162627921881</v>
      </c>
      <c r="M24" s="2"/>
    </row>
    <row r="25" spans="1:13">
      <c r="A25" s="4">
        <v>30</v>
      </c>
      <c r="B25" s="7">
        <f>266.43605603032/100</f>
        <v>2.6643605603032001</v>
      </c>
      <c r="C25" s="7">
        <v>1425.739</v>
      </c>
      <c r="D25" s="7">
        <v>226.72864146856301</v>
      </c>
      <c r="E25" s="7">
        <v>1.05108189252149</v>
      </c>
      <c r="F25" s="7">
        <f xml:space="preserve">     217.824789153906/100</f>
        <v>2.1782478915390602</v>
      </c>
      <c r="G25" s="7">
        <v>1411.84910237845</v>
      </c>
      <c r="H25" s="7">
        <v>0.90808891788935697</v>
      </c>
      <c r="I25" s="7">
        <v>0.62063589486489601</v>
      </c>
      <c r="J25" s="7">
        <v>1.1820230038525801</v>
      </c>
      <c r="K25" s="7">
        <f xml:space="preserve">     0.0129595290552782*1000</f>
        <v>12.9595290552782</v>
      </c>
      <c r="L25" s="7">
        <f t="shared" si="5"/>
        <v>575.59230911952852</v>
      </c>
      <c r="M25" s="2"/>
    </row>
    <row r="27" spans="1:13">
      <c r="A27" s="1" t="s">
        <v>27</v>
      </c>
      <c r="B27" s="1"/>
      <c r="C27" s="1"/>
      <c r="D27" s="1"/>
      <c r="E27" s="1"/>
      <c r="F27" s="1"/>
      <c r="G27" s="1"/>
    </row>
    <row r="29" spans="1:13">
      <c r="A29" s="3" t="s">
        <v>0</v>
      </c>
      <c r="B29" s="3" t="s">
        <v>16</v>
      </c>
      <c r="C29" s="3" t="s">
        <v>17</v>
      </c>
      <c r="D29" s="3" t="s">
        <v>21</v>
      </c>
      <c r="E29" s="3" t="s">
        <v>22</v>
      </c>
      <c r="F29" s="3" t="s">
        <v>25</v>
      </c>
      <c r="G29" s="3" t="s">
        <v>29</v>
      </c>
      <c r="H29" s="3" t="s">
        <v>30</v>
      </c>
      <c r="I29" s="3" t="s">
        <v>31</v>
      </c>
      <c r="J29" s="3" t="s">
        <v>32</v>
      </c>
      <c r="K29" s="3" t="s">
        <v>33</v>
      </c>
      <c r="L29" s="3" t="s">
        <v>34</v>
      </c>
    </row>
    <row r="30" spans="1:13">
      <c r="A30" s="4">
        <v>10</v>
      </c>
      <c r="B30" s="7">
        <f>519.835118755383/100</f>
        <v>5.1983511875538291</v>
      </c>
      <c r="C30" s="7">
        <v>1707.1420000000001</v>
      </c>
      <c r="D30" s="7">
        <v>190.85525941619599</v>
      </c>
      <c r="E30" s="7">
        <v>1.0670742890500999</v>
      </c>
      <c r="F30" s="7">
        <f>SQRT(E30*D30*C30/(1+(E30-1)/2))</f>
        <v>579.99089114450555</v>
      </c>
      <c r="G30" s="7">
        <f>SQRT(2*E30*E30/(E30-1)*(2/(E30+1))^((E30+1)/(E30-1))*(1-(1.01325/B30)^((E30-1)/E30)))</f>
        <v>1.0954243153101009</v>
      </c>
      <c r="H30" s="7">
        <f>G30*B30*0.1*PI()/4*K2*K2</f>
        <v>64.402150027746401</v>
      </c>
      <c r="I30" s="7">
        <f>H30/G2*1000</f>
        <v>1006.2835941835375</v>
      </c>
      <c r="J30" s="7">
        <f>I30*G2*E2/1000</f>
        <v>105.61952604550409</v>
      </c>
      <c r="K30" s="4">
        <f>SQRT(((1.01325/B30)^(-1/E30*(E30-1))-1)/(1/2*E30-1/2))</f>
        <v>1.7966169473414295</v>
      </c>
      <c r="L30" s="4">
        <f>(1/K30*(2/(E30+1)*(1+(E30-1)/2*K30*2))^((E30+1)/(2*(E30-1))))</f>
        <v>1.9329306204834023</v>
      </c>
    </row>
    <row r="31" spans="1:13">
      <c r="A31" s="4">
        <v>12</v>
      </c>
      <c r="B31" s="7">
        <f>825.628830010341/100</f>
        <v>8.2562883001034102</v>
      </c>
      <c r="C31" s="7">
        <v>1748.143</v>
      </c>
      <c r="D31" s="7">
        <v>188.26540392022801</v>
      </c>
      <c r="E31" s="7">
        <v>1.06276071998469</v>
      </c>
      <c r="F31" s="7">
        <f>SQRT(E31*D31*C31/(1+(E31-1)/2))</f>
        <v>582.34728703590349</v>
      </c>
      <c r="G31" s="7">
        <f t="shared" ref="G31:G39" si="6">SQRT(2*E31*E31/(E31-1)*(2/(E31+1))^((E31+1)/(E31-1))*(1-(1.01325/B31)^((E31-1)/E31)))</f>
        <v>1.2324945376479295</v>
      </c>
      <c r="H31" s="7">
        <f>G31*B31*0.1*PI()/4*K3*K3</f>
        <v>109.40356086947493</v>
      </c>
      <c r="I31" s="7">
        <f>H31/G3*1000</f>
        <v>1139.6204257236973</v>
      </c>
      <c r="J31" s="7">
        <f>I31*G3*E3/1000</f>
        <v>132.37830865206467</v>
      </c>
      <c r="K31" s="4">
        <f t="shared" ref="K31:K39" si="7">SQRT(((1.01325/B31)^(-1/E31*(E31-1))-1)/(1/2*E31-1/2))</f>
        <v>2.0500763875362757</v>
      </c>
      <c r="L31" s="4">
        <f t="shared" ref="L31:L39" si="8">(1/K31*(2/(E31+1)*(1+(E31-1)/2*K31*2))^((E31+1)/(2*(E31-1))))</f>
        <v>2.1455355703201096</v>
      </c>
    </row>
    <row r="32" spans="1:13">
      <c r="A32" s="4">
        <v>16</v>
      </c>
      <c r="B32" s="7">
        <f>1587.47558957011/100</f>
        <v>15.874755895701101</v>
      </c>
      <c r="C32" s="7">
        <v>1805.8679999999999</v>
      </c>
      <c r="D32" s="7">
        <v>184.57180628404299</v>
      </c>
      <c r="E32" s="7">
        <v>1.0570325076348801</v>
      </c>
      <c r="F32" s="7">
        <f>SQRT(E32*D32*C32/(1+(E32-1)/2))</f>
        <v>585.28079614116223</v>
      </c>
      <c r="G32" s="7">
        <f t="shared" si="6"/>
        <v>1.4002812087924166</v>
      </c>
      <c r="H32" s="7">
        <f>G32*B32*0.1*PI()/4*K4*K4</f>
        <v>248.06455206890055</v>
      </c>
      <c r="I32" s="7">
        <f>H32/G4*1000</f>
        <v>1305.6029056257923</v>
      </c>
      <c r="J32" s="7">
        <f>I32*G4*E4/1000</f>
        <v>151.31937676202935</v>
      </c>
      <c r="K32" s="4">
        <f t="shared" si="7"/>
        <v>2.3690776115746646</v>
      </c>
      <c r="L32" s="4">
        <f t="shared" si="8"/>
        <v>2.4991001718562855</v>
      </c>
    </row>
    <row r="33" spans="1:12">
      <c r="A33" s="4">
        <v>19</v>
      </c>
      <c r="B33" s="7">
        <f xml:space="preserve">     1005.21631875084/100</f>
        <v>10.0521631875084</v>
      </c>
      <c r="C33" s="7">
        <v>1765.6010000000001</v>
      </c>
      <c r="D33" s="7">
        <v>187.15475797640599</v>
      </c>
      <c r="E33" s="7">
        <v>1.0609871176704799</v>
      </c>
      <c r="F33" s="7">
        <f>SQRT(E33*D33*C33/(1+(E33-1)/2))</f>
        <v>583.28275155712015</v>
      </c>
      <c r="G33" s="7">
        <f t="shared" si="6"/>
        <v>1.2856942575733277</v>
      </c>
      <c r="H33" s="7">
        <f>G33*B33*0.1*PI()/4*K5*K5</f>
        <v>144.22469416622297</v>
      </c>
      <c r="I33" s="7">
        <f>H33/G5*1000</f>
        <v>1191.9396212084544</v>
      </c>
      <c r="J33" s="7">
        <f>I33*G5*E5/1000</f>
        <v>141.34020028289851</v>
      </c>
      <c r="K33" s="4">
        <f t="shared" si="7"/>
        <v>2.1502743098017465</v>
      </c>
      <c r="L33" s="4">
        <f t="shared" si="8"/>
        <v>2.2456178310430048</v>
      </c>
    </row>
    <row r="34" spans="1:12">
      <c r="A34" s="4">
        <v>20</v>
      </c>
      <c r="B34" s="7">
        <f>837.016940387557/100</f>
        <v>8.3701694038755701</v>
      </c>
      <c r="C34" s="7">
        <v>1749.3589999999999</v>
      </c>
      <c r="D34" s="7">
        <v>188.18750111671201</v>
      </c>
      <c r="E34" s="7">
        <v>1.06263553181193</v>
      </c>
      <c r="F34" s="7">
        <f>SQRT(E34*D34*C34/(1+(E34-1)/2))</f>
        <v>582.41261976853468</v>
      </c>
      <c r="G34" s="7">
        <f t="shared" si="6"/>
        <v>1.2362842634373223</v>
      </c>
      <c r="H34" s="7">
        <f>G34*B34*0.1*PI()/4*K6*K6</f>
        <v>115.47686396559229</v>
      </c>
      <c r="I34" s="7">
        <f>H34/G6*1000</f>
        <v>1143.3352867880424</v>
      </c>
      <c r="J34" s="7">
        <f>I34*G6*E6/1000</f>
        <v>129.33408764146336</v>
      </c>
      <c r="K34" s="4">
        <f t="shared" si="7"/>
        <v>2.0571820565507561</v>
      </c>
      <c r="L34" s="4">
        <f t="shared" si="8"/>
        <v>2.1523224999416719</v>
      </c>
    </row>
    <row r="35" spans="1:12">
      <c r="A35" s="4">
        <v>21</v>
      </c>
      <c r="B35" s="7">
        <f>930.321963016802/100</f>
        <v>9.3032196301680194</v>
      </c>
      <c r="C35" s="7">
        <v>1758.7360000000001</v>
      </c>
      <c r="D35" s="7">
        <v>187.59080315516701</v>
      </c>
      <c r="E35" s="7">
        <v>1.06167938970644</v>
      </c>
      <c r="F35" s="7">
        <f>SQRT(E35*D35*C35/(1+(E35-1)/2))</f>
        <v>582.91767561579047</v>
      </c>
      <c r="G35" s="7">
        <f t="shared" si="6"/>
        <v>1.2650766887926042</v>
      </c>
      <c r="H35" s="7">
        <f>G35*B35*0.1*PI()/4*K7*K7</f>
        <v>126.53530957266283</v>
      </c>
      <c r="I35" s="7">
        <f>H35/G7*1000</f>
        <v>1171.623236783915</v>
      </c>
      <c r="J35" s="7">
        <f>I35*G7*E7/1000</f>
        <v>137.92348743420249</v>
      </c>
      <c r="K35" s="4">
        <f t="shared" si="7"/>
        <v>2.1113295070633482</v>
      </c>
      <c r="L35" s="4">
        <f t="shared" si="8"/>
        <v>2.2055852949317014</v>
      </c>
    </row>
    <row r="36" spans="1:12">
      <c r="A36" s="4">
        <v>24</v>
      </c>
      <c r="B36" s="7">
        <f>896.582437401277/100</f>
        <v>8.9658243740127705</v>
      </c>
      <c r="C36" s="7">
        <v>1455.0329999999999</v>
      </c>
      <c r="D36" s="7">
        <v>224.80546088792599</v>
      </c>
      <c r="E36" s="7">
        <v>1.0485383362484</v>
      </c>
      <c r="F36" s="7">
        <f>SQRT(E36*D36*C36/(1+(E36-1)/2))</f>
        <v>578.66199066882143</v>
      </c>
      <c r="G36" s="7">
        <f>SQRT(2*E36*E36/(E36-1)*(2/(E36+1))^((E36+1)/(E36-1))*(1-(1.01325/B36)^((E36-1)/E36)))</f>
        <v>1.2572856491481879</v>
      </c>
      <c r="H36" s="7">
        <f>G36*B36*0.1*PI()/4*K8*K8</f>
        <v>125.79592651294921</v>
      </c>
      <c r="I36" s="7">
        <f>H36/G8*1000</f>
        <v>1771.7736128584395</v>
      </c>
      <c r="J36" s="7">
        <f>I36*G8*E8/1000</f>
        <v>162.27674520170447</v>
      </c>
      <c r="K36" s="4">
        <f t="shared" si="7"/>
        <v>2.0918323810528276</v>
      </c>
      <c r="L36" s="4">
        <f t="shared" si="8"/>
        <v>2.2180111252324393</v>
      </c>
    </row>
    <row r="37" spans="1:12">
      <c r="A37" s="4">
        <v>28</v>
      </c>
      <c r="B37" s="7">
        <f>713.259801370907/100</f>
        <v>7.1325980137090701</v>
      </c>
      <c r="C37" s="7">
        <v>1450.8489999999999</v>
      </c>
      <c r="D37" s="7">
        <v>225.07824388943899</v>
      </c>
      <c r="E37" s="7">
        <v>1.0488975645374401</v>
      </c>
      <c r="F37" s="7">
        <f>SQRT(E37*D37*C37/(1+(E37-1)/2))</f>
        <v>578.22821512425105</v>
      </c>
      <c r="G37" s="7">
        <f t="shared" si="6"/>
        <v>1.1925707868397761</v>
      </c>
      <c r="H37" s="7">
        <f>G37*B37*0.1*PI()/4*K9*K9</f>
        <v>94.923623293725939</v>
      </c>
      <c r="I37" s="7">
        <f>H37/G9*1000</f>
        <v>1103.7630615549526</v>
      </c>
      <c r="J37" s="7">
        <f>I37*G9*E9/1000</f>
        <v>92.075914594914138</v>
      </c>
      <c r="K37" s="4">
        <f t="shared" si="7"/>
        <v>1.9737247070908732</v>
      </c>
      <c r="L37" s="4">
        <f t="shared" si="8"/>
        <v>2.1049237823719213</v>
      </c>
    </row>
    <row r="38" spans="1:12">
      <c r="A38" s="4">
        <v>29</v>
      </c>
      <c r="B38" s="7">
        <f>1013.26881504827/100</f>
        <v>10.1326881504827</v>
      </c>
      <c r="C38" s="7">
        <v>1457.0329999999999</v>
      </c>
      <c r="D38" s="7">
        <v>224.67489646016</v>
      </c>
      <c r="E38" s="7">
        <v>1.04836750215374</v>
      </c>
      <c r="F38" s="7">
        <f>SQRT(E38*D38*C38/(1+(E38-1)/2))</f>
        <v>578.86834813067321</v>
      </c>
      <c r="G38" s="7">
        <f t="shared" si="6"/>
        <v>1.2903196928400336</v>
      </c>
      <c r="H38" s="7">
        <f>G38*B38*0.1*PI()/4*K10*K10</f>
        <v>145.90305801073478</v>
      </c>
      <c r="I38" s="7">
        <f>H38/G10*1000</f>
        <v>1195.9267050060228</v>
      </c>
      <c r="J38" s="7">
        <f>I38*G10*E10/1000</f>
        <v>99.214079447299653</v>
      </c>
      <c r="K38" s="4">
        <f t="shared" si="7"/>
        <v>2.1528016357186113</v>
      </c>
      <c r="L38" s="4">
        <f t="shared" si="8"/>
        <v>2.2811941098487512</v>
      </c>
    </row>
    <row r="39" spans="1:12">
      <c r="A39" s="4">
        <v>30</v>
      </c>
      <c r="B39" s="7">
        <f>613.3006764746/100</f>
        <v>6.1330067647459998</v>
      </c>
      <c r="C39" s="7">
        <v>1447.7560000000001</v>
      </c>
      <c r="D39" s="7">
        <v>225.28242365248599</v>
      </c>
      <c r="E39" s="7">
        <v>1.0491648368209601</v>
      </c>
      <c r="F39" s="7">
        <f>SQRT(E39*D39*C39/(1+(E39-1)/2))</f>
        <v>577.90939568652493</v>
      </c>
      <c r="G39" s="7">
        <f t="shared" si="6"/>
        <v>1.1474798252601244</v>
      </c>
      <c r="H39" s="7">
        <f>G39*B39*0.1*PI()/4*K11*K11</f>
        <v>78.534574395730843</v>
      </c>
      <c r="I39" s="7">
        <f>H39/G11*1000</f>
        <v>1061.2780323747411</v>
      </c>
      <c r="J39" s="7">
        <f>I39*G11*E11/1000</f>
        <v>88.744069067175843</v>
      </c>
      <c r="K39" s="4">
        <f t="shared" si="7"/>
        <v>1.8924202248786719</v>
      </c>
      <c r="L39" s="4">
        <f t="shared" si="8"/>
        <v>2.0340308325126917</v>
      </c>
    </row>
    <row r="41" spans="1:12">
      <c r="B41" s="2"/>
    </row>
    <row r="42" spans="1:12">
      <c r="B42" s="2"/>
    </row>
    <row r="43" spans="1:12">
      <c r="B43" s="2"/>
    </row>
    <row r="44" spans="1:12">
      <c r="B44" s="2"/>
    </row>
    <row r="45" spans="1:12">
      <c r="B45" s="2"/>
    </row>
    <row r="46" spans="1:12">
      <c r="B46" s="2"/>
    </row>
    <row r="47" spans="1:12">
      <c r="B47" s="2"/>
    </row>
    <row r="48" spans="1:12">
      <c r="B48" s="2"/>
    </row>
    <row r="49" spans="2:2">
      <c r="B49" s="2"/>
    </row>
    <row r="50" spans="2:2">
      <c r="B50" s="2"/>
    </row>
  </sheetData>
  <mergeCells count="2">
    <mergeCell ref="A13:G13"/>
    <mergeCell ref="A27:G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UFPR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diego_moro</dc:creator>
  <cp:lastModifiedBy>diego_moro</cp:lastModifiedBy>
  <dcterms:created xsi:type="dcterms:W3CDTF">2014-12-03T15:50:11Z</dcterms:created>
  <dcterms:modified xsi:type="dcterms:W3CDTF">2014-12-03T19:10:27Z</dcterms:modified>
</cp:coreProperties>
</file>