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4055" windowHeight="9405"/>
  </bookViews>
  <sheets>
    <sheet name="Balloon Burst Estimator" sheetId="1" r:id="rId1"/>
  </sheets>
  <definedNames>
    <definedName name="TABLE_1">'Balloon Burst Estimator'!$E$5</definedName>
    <definedName name="TABLE_2_1">'Balloon Burst Estimator'!$D$22:$P$22</definedName>
    <definedName name="TABLE_3_1">'Balloon Burst Estimator'!$D$23:$P$23</definedName>
  </definedNames>
  <calcPr calcId="145621"/>
</workbook>
</file>

<file path=xl/calcChain.xml><?xml version="1.0" encoding="utf-8"?>
<calcChain xmlns="http://schemas.openxmlformats.org/spreadsheetml/2006/main">
  <c r="L27" i="1" l="1"/>
  <c r="G27" i="1"/>
  <c r="C27" i="1"/>
  <c r="G12" i="1"/>
  <c r="M9" i="1"/>
  <c r="O9" i="1" s="1"/>
  <c r="Q9" i="1" s="1"/>
  <c r="Q12" i="1" s="1"/>
  <c r="K9" i="1"/>
  <c r="E9" i="1"/>
  <c r="C9" i="1"/>
  <c r="E5" i="1"/>
  <c r="A12" i="1" s="1"/>
  <c r="C12" i="1" s="1"/>
  <c r="M12" i="1" l="1"/>
  <c r="E12" i="1"/>
  <c r="I12" i="1" s="1"/>
  <c r="K12" i="1" s="1"/>
  <c r="O12" i="1" s="1"/>
</calcChain>
</file>

<file path=xl/sharedStrings.xml><?xml version="1.0" encoding="utf-8"?>
<sst xmlns="http://schemas.openxmlformats.org/spreadsheetml/2006/main" count="42" uniqueCount="38">
  <si>
    <t>Totex Balloon Burst Estimator – by Steve Randall</t>
  </si>
  <si>
    <t>Gas</t>
  </si>
  <si>
    <t>Chosen Gas Density(Kg/cu m)</t>
  </si>
  <si>
    <t>Air density at 0C,101 kPa</t>
  </si>
  <si>
    <t>Air Density Model</t>
  </si>
  <si>
    <t>density</t>
  </si>
  <si>
    <t>Helium</t>
  </si>
  <si>
    <t>Hydrogen</t>
  </si>
  <si>
    <t>at 0C,101 kPa</t>
  </si>
  <si>
    <t>Launch Vol (cu m)</t>
  </si>
  <si>
    <t>Launch Dia (m)</t>
  </si>
  <si>
    <t>Area (sq  m)</t>
  </si>
  <si>
    <t>Balloon (g)</t>
  </si>
  <si>
    <t>Payload (g)</t>
  </si>
  <si>
    <t>Burst Dia (m)</t>
  </si>
  <si>
    <t>Burst Volume (cu m)</t>
  </si>
  <si>
    <t>Burst Volume Ratio</t>
  </si>
  <si>
    <t>Burst height (m)</t>
  </si>
  <si>
    <t>Gross Lift(Kg)</t>
  </si>
  <si>
    <t>Free Lift (Kg)</t>
  </si>
  <si>
    <t>Free Lift (N)</t>
  </si>
  <si>
    <t>Balloon Cd</t>
  </si>
  <si>
    <t>Ascent Rate (m/sec)</t>
  </si>
  <si>
    <t>Ascent rate (ft/min)</t>
  </si>
  <si>
    <t>Neutral Lift Kg</t>
  </si>
  <si>
    <t>Time to burst (min)</t>
  </si>
  <si>
    <t>Burst Height (ft)</t>
  </si>
  <si>
    <t xml:space="preserve">Notes: </t>
  </si>
  <si>
    <t>Fill in the green cells - results in yellow cells (Pink cells are intermediate calculations, Tan cells are constants)</t>
  </si>
  <si>
    <t>Based on Kaymont Totex Sounding Balloon Data</t>
  </si>
  <si>
    <t>Model tends to under estimate balloon burst for small balloons by upto 3.5% - and over estimate for big balloons by upto 3.5%</t>
  </si>
  <si>
    <t>Air density model based on NRLMSISE Standard Atmosphere Model - good to 80Km</t>
  </si>
  <si>
    <t>Totex Balloon Data:</t>
  </si>
  <si>
    <t>Burst dia (m)</t>
  </si>
  <si>
    <t>Cd</t>
  </si>
  <si>
    <t>cu. Ft    to cu. M</t>
  </si>
  <si>
    <t>lbs.      to   grams</t>
  </si>
  <si>
    <t>Grams of He           to           cu. Ft of 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</si>
</sst>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b/>
      <sz val="16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CFF33"/>
        <bgColor rgb="FFCCFF33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 applyAlignment="1"/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 applyBorder="1" applyAlignment="1"/>
    <xf numFmtId="11" fontId="1" fillId="0" borderId="0" xfId="0" applyNumberFormat="1" applyFont="1" applyAlignment="1"/>
    <xf numFmtId="0" fontId="1" fillId="0" borderId="0" xfId="0" applyFont="1" applyAlignment="1"/>
    <xf numFmtId="0" fontId="3" fillId="0" borderId="1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/>
    <xf numFmtId="0" fontId="1" fillId="3" borderId="0" xfId="0" applyFont="1" applyFill="1" applyBorder="1"/>
    <xf numFmtId="2" fontId="1" fillId="3" borderId="0" xfId="0" applyNumberFormat="1" applyFont="1" applyFill="1" applyBorder="1"/>
    <xf numFmtId="1" fontId="1" fillId="5" borderId="5" xfId="0" applyNumberFormat="1" applyFont="1" applyFill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3" borderId="8" xfId="0" applyFont="1" applyFill="1" applyBorder="1"/>
    <xf numFmtId="0" fontId="1" fillId="0" borderId="9" xfId="0" applyFont="1" applyBorder="1"/>
    <xf numFmtId="0" fontId="1" fillId="3" borderId="9" xfId="0" applyFont="1" applyFill="1" applyBorder="1"/>
    <xf numFmtId="0" fontId="1" fillId="5" borderId="5" xfId="0" applyFont="1" applyFill="1" applyBorder="1"/>
    <xf numFmtId="0" fontId="1" fillId="0" borderId="10" xfId="0" applyFont="1" applyBorder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6" borderId="0" xfId="0" applyFont="1" applyFill="1" applyBorder="1" applyAlignment="1"/>
    <xf numFmtId="0" fontId="1" fillId="7" borderId="0" xfId="0" applyFont="1" applyFill="1" applyBorder="1" applyAlignment="1"/>
    <xf numFmtId="0" fontId="1" fillId="8" borderId="0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13</xdr:row>
      <xdr:rowOff>57150</xdr:rowOff>
    </xdr:from>
    <xdr:to>
      <xdr:col>11</xdr:col>
      <xdr:colOff>504825</xdr:colOff>
      <xdr:row>14</xdr:row>
      <xdr:rowOff>57150</xdr:rowOff>
    </xdr:to>
    <xdr:sp macro="" textlink="">
      <xdr:nvSpPr>
        <xdr:cNvPr id="3" name="Shape 3"/>
        <xdr:cNvSpPr txBox="1"/>
      </xdr:nvSpPr>
      <xdr:spPr>
        <a:xfrm>
          <a:off x="4730062" y="3693887"/>
          <a:ext cx="1231876" cy="172226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0" tIns="0" rIns="0" bIns="0" anchor="t" anchorCtr="0">
          <a:noAutofit/>
        </a:bodyPr>
        <a:lstStyle/>
        <a:p>
          <a:pPr lvl="0">
            <a:spcBef>
              <a:spcPts val="0"/>
            </a:spcBef>
            <a:buNone/>
          </a:pPr>
          <a:endParaRPr sz="1100" b="0" i="0" u="none" strike="noStrike" cap="none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/>
  </sheetViews>
  <sheetFormatPr defaultColWidth="17.28515625" defaultRowHeight="15.75" customHeight="1" x14ac:dyDescent="0.2"/>
  <cols>
    <col min="1" max="12" width="8.7109375" customWidth="1"/>
    <col min="13" max="13" width="10.140625" customWidth="1"/>
    <col min="14" max="19" width="8.7109375" customWidth="1"/>
  </cols>
  <sheetData>
    <row r="1" spans="1:19" ht="12.75" customHeight="1" x14ac:dyDescent="0.2">
      <c r="M1" s="1"/>
    </row>
    <row r="2" spans="1:19" ht="20.25" customHeight="1" x14ac:dyDescent="0.3">
      <c r="C2" s="2" t="s">
        <v>0</v>
      </c>
      <c r="M2" s="1"/>
    </row>
    <row r="3" spans="1:19" ht="12.75" customHeight="1" x14ac:dyDescent="0.2">
      <c r="M3" s="1"/>
    </row>
    <row r="4" spans="1:19" ht="12.75" customHeight="1" x14ac:dyDescent="0.2">
      <c r="B4" s="3" t="s">
        <v>1</v>
      </c>
      <c r="E4" s="1" t="s">
        <v>2</v>
      </c>
      <c r="H4" s="1" t="s">
        <v>3</v>
      </c>
      <c r="K4" s="1" t="s">
        <v>4</v>
      </c>
      <c r="M4" s="1"/>
      <c r="O4" s="1" t="s">
        <v>1</v>
      </c>
      <c r="P4" s="1" t="s">
        <v>5</v>
      </c>
    </row>
    <row r="5" spans="1:19" ht="12.75" customHeight="1" x14ac:dyDescent="0.2">
      <c r="B5" s="4" t="s">
        <v>6</v>
      </c>
      <c r="E5" s="5">
        <f>VLOOKUP(B5,O5:P6,2,FALSE)</f>
        <v>0.17860000000000001</v>
      </c>
      <c r="H5" s="6">
        <v>1.2050000000000001</v>
      </c>
      <c r="K5" s="6">
        <v>7238.3</v>
      </c>
      <c r="M5" s="1"/>
      <c r="O5" s="1" t="s">
        <v>7</v>
      </c>
      <c r="P5" s="7">
        <v>8.9899999999999897E-2</v>
      </c>
      <c r="Q5" s="1" t="s">
        <v>8</v>
      </c>
    </row>
    <row r="6" spans="1:19" ht="12.75" customHeight="1" x14ac:dyDescent="0.2">
      <c r="M6" s="1"/>
      <c r="O6" s="1" t="s">
        <v>6</v>
      </c>
      <c r="P6" s="8">
        <v>0.17860000000000001</v>
      </c>
      <c r="Q6" s="1" t="s">
        <v>8</v>
      </c>
    </row>
    <row r="7" spans="1:19" ht="12.75" customHeight="1" x14ac:dyDescent="0.2">
      <c r="A7" s="3"/>
      <c r="M7" s="1"/>
    </row>
    <row r="8" spans="1:19" ht="12.75" customHeight="1" x14ac:dyDescent="0.2">
      <c r="A8" s="9" t="s">
        <v>9</v>
      </c>
      <c r="B8" s="10"/>
      <c r="C8" s="10" t="s">
        <v>10</v>
      </c>
      <c r="D8" s="10"/>
      <c r="E8" s="10" t="s">
        <v>11</v>
      </c>
      <c r="F8" s="10"/>
      <c r="G8" s="11" t="s">
        <v>12</v>
      </c>
      <c r="H8" s="10"/>
      <c r="I8" s="11" t="s">
        <v>13</v>
      </c>
      <c r="J8" s="10"/>
      <c r="K8" s="11" t="s">
        <v>14</v>
      </c>
      <c r="L8" s="10"/>
      <c r="M8" s="10" t="s">
        <v>15</v>
      </c>
      <c r="N8" s="10"/>
      <c r="O8" s="10" t="s">
        <v>16</v>
      </c>
      <c r="P8" s="10"/>
      <c r="Q8" s="11" t="s">
        <v>17</v>
      </c>
      <c r="R8" s="12"/>
      <c r="S8" s="1"/>
    </row>
    <row r="9" spans="1:19" ht="12.75" customHeight="1" x14ac:dyDescent="0.2">
      <c r="A9" s="13">
        <v>3</v>
      </c>
      <c r="C9" s="14">
        <f>2*POWER((3*A9)/(4*PI()),(1/3))</f>
        <v>1.789400457879299</v>
      </c>
      <c r="D9" s="1"/>
      <c r="E9" s="14">
        <f>PI()*POWER(C9/2,2)</f>
        <v>2.5148087898296154</v>
      </c>
      <c r="F9" s="1"/>
      <c r="G9" s="4">
        <v>1000</v>
      </c>
      <c r="H9" s="1"/>
      <c r="I9" s="4">
        <v>860</v>
      </c>
      <c r="J9" s="1"/>
      <c r="K9" s="15">
        <f>HLOOKUP(G9,D22:P24,2,FALSE)</f>
        <v>7.86</v>
      </c>
      <c r="L9" s="1"/>
      <c r="M9" s="14">
        <f>(4/3)*PI()*POWER(K9/2,3)</f>
        <v>254.25310212724793</v>
      </c>
      <c r="N9" s="1"/>
      <c r="O9" s="14">
        <f>M9/A9</f>
        <v>84.751034042415981</v>
      </c>
      <c r="P9" s="1"/>
      <c r="Q9" s="16">
        <f>-(K5*LN(1/O9))</f>
        <v>32136.010417772075</v>
      </c>
      <c r="R9" s="17"/>
      <c r="S9" s="1"/>
    </row>
    <row r="10" spans="1:19" ht="12.75" customHeight="1" x14ac:dyDescent="0.2">
      <c r="A10" s="1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9"/>
      <c r="S10" s="1"/>
    </row>
    <row r="11" spans="1:19" ht="12.75" customHeight="1" x14ac:dyDescent="0.2">
      <c r="A11" s="18" t="s">
        <v>18</v>
      </c>
      <c r="B11" s="1"/>
      <c r="C11" s="1" t="s">
        <v>19</v>
      </c>
      <c r="D11" s="1"/>
      <c r="E11" s="1" t="s">
        <v>20</v>
      </c>
      <c r="F11" s="1"/>
      <c r="G11" s="3" t="s">
        <v>21</v>
      </c>
      <c r="H11" s="1"/>
      <c r="I11" s="1" t="s">
        <v>22</v>
      </c>
      <c r="J11" s="1"/>
      <c r="K11" s="3" t="s">
        <v>23</v>
      </c>
      <c r="L11" s="1"/>
      <c r="M11" s="3" t="s">
        <v>24</v>
      </c>
      <c r="O11" s="3" t="s">
        <v>25</v>
      </c>
      <c r="P11" s="1"/>
      <c r="Q11" s="3" t="s">
        <v>26</v>
      </c>
      <c r="R11" s="19"/>
      <c r="S11" s="1"/>
    </row>
    <row r="12" spans="1:19" ht="12.75" customHeight="1" x14ac:dyDescent="0.2">
      <c r="A12" s="20">
        <f>(A9*(H5-E5))</f>
        <v>3.0792000000000002</v>
      </c>
      <c r="B12" s="21"/>
      <c r="C12" s="22">
        <f>A12-((G9+I9)/1000)</f>
        <v>1.2192000000000001</v>
      </c>
      <c r="D12" s="21"/>
      <c r="E12" s="22">
        <f>C12*9.81</f>
        <v>11.960352000000002</v>
      </c>
      <c r="F12" s="21"/>
      <c r="G12" s="22">
        <f>HLOOKUP(G9,D22:P24,3,FALSE)</f>
        <v>0.3</v>
      </c>
      <c r="H12" s="21"/>
      <c r="I12" s="22">
        <f>SQRT(E12/(0.5*G12*H5*E9))</f>
        <v>5.1295627024136321</v>
      </c>
      <c r="J12" s="21"/>
      <c r="K12" s="23">
        <f>(I12*3.28)*60</f>
        <v>1009.4979398350026</v>
      </c>
      <c r="L12" s="21"/>
      <c r="M12" s="23">
        <f>(I9/1000)+C12</f>
        <v>2.0792000000000002</v>
      </c>
      <c r="N12" s="21"/>
      <c r="O12" s="23">
        <f>Q12/K12</f>
        <v>104.41439255192587</v>
      </c>
      <c r="P12" s="21"/>
      <c r="Q12" s="16">
        <f>Q9*3.28</f>
        <v>105406.11417029241</v>
      </c>
      <c r="R12" s="24"/>
      <c r="S12" s="1"/>
    </row>
    <row r="13" spans="1:19" ht="12.75" customHeight="1" x14ac:dyDescent="0.2">
      <c r="F13" s="1"/>
      <c r="G13" s="1"/>
      <c r="M13" s="1"/>
    </row>
    <row r="14" spans="1:19" ht="13.5" customHeight="1" x14ac:dyDescent="0.2">
      <c r="M14" s="1"/>
    </row>
    <row r="15" spans="1:19" ht="12.75" customHeight="1" x14ac:dyDescent="0.2">
      <c r="A15" s="3" t="s">
        <v>27</v>
      </c>
      <c r="M15" s="1"/>
    </row>
    <row r="16" spans="1:19" ht="12.75" customHeight="1" x14ac:dyDescent="0.2">
      <c r="B16" s="1" t="s">
        <v>28</v>
      </c>
      <c r="M16" s="1"/>
    </row>
    <row r="17" spans="1:16" ht="12.75" customHeight="1" x14ac:dyDescent="0.2">
      <c r="B17" s="1" t="s">
        <v>29</v>
      </c>
      <c r="M17" s="1"/>
    </row>
    <row r="18" spans="1:16" ht="12.75" customHeight="1" x14ac:dyDescent="0.2">
      <c r="B18" s="1" t="s">
        <v>30</v>
      </c>
      <c r="M18" s="1"/>
    </row>
    <row r="19" spans="1:16" ht="12.75" customHeight="1" x14ac:dyDescent="0.2">
      <c r="B19" s="1" t="s">
        <v>31</v>
      </c>
      <c r="M19" s="1"/>
    </row>
    <row r="20" spans="1:16" ht="12.75" customHeight="1" x14ac:dyDescent="0.2">
      <c r="M20" s="1"/>
    </row>
    <row r="21" spans="1:16" ht="12.75" customHeight="1" x14ac:dyDescent="0.2">
      <c r="A21" s="3" t="s">
        <v>32</v>
      </c>
      <c r="M21" s="1"/>
    </row>
    <row r="22" spans="1:16" ht="12.75" customHeight="1" x14ac:dyDescent="0.2">
      <c r="B22" s="3" t="s">
        <v>12</v>
      </c>
      <c r="D22" s="25">
        <v>200</v>
      </c>
      <c r="E22" s="25">
        <v>300</v>
      </c>
      <c r="F22" s="25">
        <v>350</v>
      </c>
      <c r="G22" s="25">
        <v>450</v>
      </c>
      <c r="H22" s="25">
        <v>500</v>
      </c>
      <c r="I22" s="25">
        <v>600</v>
      </c>
      <c r="J22" s="25">
        <v>700</v>
      </c>
      <c r="K22" s="25">
        <v>800</v>
      </c>
      <c r="L22" s="25">
        <v>1000</v>
      </c>
      <c r="M22" s="25">
        <v>1200</v>
      </c>
      <c r="N22" s="25">
        <v>1500</v>
      </c>
      <c r="O22" s="25">
        <v>2000</v>
      </c>
      <c r="P22" s="25">
        <v>3000</v>
      </c>
    </row>
    <row r="23" spans="1:16" ht="12.75" customHeight="1" x14ac:dyDescent="0.2">
      <c r="B23" s="3" t="s">
        <v>33</v>
      </c>
      <c r="D23" s="26">
        <v>3</v>
      </c>
      <c r="E23" s="26">
        <v>3.78</v>
      </c>
      <c r="F23" s="26">
        <v>4.12</v>
      </c>
      <c r="G23" s="26">
        <v>4.72</v>
      </c>
      <c r="H23" s="26">
        <v>4.99</v>
      </c>
      <c r="I23" s="26">
        <v>6.02</v>
      </c>
      <c r="J23" s="26">
        <v>6.53</v>
      </c>
      <c r="K23" s="26">
        <v>7</v>
      </c>
      <c r="L23" s="26">
        <v>7.86</v>
      </c>
      <c r="M23" s="26">
        <v>8.6300000000000008</v>
      </c>
      <c r="N23" s="26">
        <v>9.44</v>
      </c>
      <c r="O23" s="26">
        <v>10.54</v>
      </c>
      <c r="P23" s="26">
        <v>13</v>
      </c>
    </row>
    <row r="24" spans="1:16" ht="12.75" customHeight="1" x14ac:dyDescent="0.2">
      <c r="B24" s="3" t="s">
        <v>34</v>
      </c>
      <c r="D24" s="27">
        <v>0.25</v>
      </c>
      <c r="E24" s="27">
        <v>0.25</v>
      </c>
      <c r="F24" s="27">
        <v>0.25</v>
      </c>
      <c r="G24" s="27">
        <v>0.25</v>
      </c>
      <c r="H24" s="27">
        <v>0.25</v>
      </c>
      <c r="I24" s="27">
        <v>0.3</v>
      </c>
      <c r="J24" s="27">
        <v>0.3</v>
      </c>
      <c r="K24" s="27">
        <v>0.3</v>
      </c>
      <c r="L24" s="27">
        <v>0.3</v>
      </c>
      <c r="M24" s="27">
        <v>0.25</v>
      </c>
      <c r="N24" s="27">
        <v>0.25</v>
      </c>
      <c r="O24" s="27">
        <v>0.25</v>
      </c>
      <c r="P24" s="27">
        <v>0.25</v>
      </c>
    </row>
    <row r="25" spans="1:16" ht="12.75" customHeight="1" x14ac:dyDescent="0.2">
      <c r="M25" s="1"/>
    </row>
    <row r="26" spans="1:16" ht="12.75" customHeight="1" x14ac:dyDescent="0.2">
      <c r="B26" s="31" t="s">
        <v>35</v>
      </c>
      <c r="C26" s="32"/>
      <c r="F26" s="31" t="s">
        <v>36</v>
      </c>
      <c r="G26" s="32"/>
      <c r="I26" s="31" t="s">
        <v>37</v>
      </c>
      <c r="J26" s="32"/>
      <c r="K26" s="32"/>
      <c r="L26" s="32"/>
      <c r="M26" s="1"/>
    </row>
    <row r="27" spans="1:16" ht="12.75" customHeight="1" x14ac:dyDescent="0.2">
      <c r="B27" s="28">
        <v>94</v>
      </c>
      <c r="C27" s="1" t="e">
        <f>CONVERT(B27,"ft^3","m^3")</f>
        <v>#N/A</v>
      </c>
      <c r="F27" s="29">
        <v>2</v>
      </c>
      <c r="G27" s="1">
        <f>CONVERT(F27,"lbm","g")</f>
        <v>907.18474000000003</v>
      </c>
      <c r="I27" s="30">
        <v>2310</v>
      </c>
      <c r="L27" s="1">
        <f>I27*0.035</f>
        <v>80.850000000000009</v>
      </c>
      <c r="M27" s="1"/>
    </row>
  </sheetData>
  <mergeCells count="3">
    <mergeCell ref="B26:C26"/>
    <mergeCell ref="F26:G26"/>
    <mergeCell ref="I26:L26"/>
  </mergeCells>
  <dataValidations count="2">
    <dataValidation type="list" allowBlank="1" showErrorMessage="1" sqref="B5">
      <formula1>$O$5:$O$6</formula1>
    </dataValidation>
    <dataValidation type="list" allowBlank="1" showErrorMessage="1" sqref="G9">
      <formula1>$D$22:$P$22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Balloon Burst Estimator</vt:lpstr>
      <vt:lpstr>TABLE_1</vt:lpstr>
      <vt:lpstr>TABLE_2_1</vt:lpstr>
      <vt:lpstr>TABLE_3_1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casa</cp:lastModifiedBy>
  <dcterms:modified xsi:type="dcterms:W3CDTF">2016-11-15T15:35:18Z</dcterms:modified>
</cp:coreProperties>
</file>