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oogle Drive\1-Disciplinas\TMEC038-Elementos de Maquinas II\Aulas\3-Engrenagens cilindricas\"/>
    </mc:Choice>
  </mc:AlternateContent>
  <bookViews>
    <workbookView xWindow="0" yWindow="0" windowWidth="16392" windowHeight="6408" tabRatio="893" firstSheet="2" activeTab="5"/>
  </bookViews>
  <sheets>
    <sheet name="Dados iniciais" sheetId="1" r:id="rId1"/>
    <sheet name="Tensão de Flexão" sheetId="2" r:id="rId2"/>
    <sheet name="Tensão Admissível de Flexão" sheetId="3" r:id="rId3"/>
    <sheet name="Tensão de Contato" sheetId="6" r:id="rId4"/>
    <sheet name="Tensão Admissível de Contato" sheetId="7" r:id="rId5"/>
    <sheet name="Fatores de Segurança" sheetId="4" r:id="rId6"/>
  </sheets>
  <definedNames>
    <definedName name="ajuste">'Dados iniciais'!$C$18</definedName>
    <definedName name="AL">'Tensão Admissível de Contato'!$C$10</definedName>
    <definedName name="aplicacao">'Dados iniciais'!$C$17</definedName>
    <definedName name="b_max">'Tensão de Flexão'!$C$17</definedName>
    <definedName name="C_e">'Tensão de Flexão'!$C$24</definedName>
    <definedName name="C_ma">'Tensão de Flexão'!$C$21</definedName>
    <definedName name="C_mc">'Tensão de Flexão'!$C$18</definedName>
    <definedName name="C_pf">'Tensão de Flexão'!$C$19</definedName>
    <definedName name="C_pf_A">'Tensão de Flexão'!$C$19</definedName>
    <definedName name="C_pf_P">'Tensão de Flexão'!$C$19</definedName>
    <definedName name="C_pm">'Tensão de Flexão'!$C$20</definedName>
    <definedName name="coef_A">'Tensão de Flexão'!$G$10</definedName>
    <definedName name="coef_B">'Tensão de Flexão'!$G$9</definedName>
    <definedName name="conf">'Dados iniciais'!$C$33</definedName>
    <definedName name="coroamento">'Dados iniciais'!$C$15</definedName>
    <definedName name="corpo_G">'Dados iniciais'!$C$28</definedName>
    <definedName name="corpo_P">'Dados iniciais'!$C$22</definedName>
    <definedName name="curva_NC">'Dados iniciais'!$C$32</definedName>
    <definedName name="d_G">'Tensão de Flexão'!$C$4</definedName>
    <definedName name="d_P">'Tensão de Flexão'!$C$3</definedName>
    <definedName name="dentes">'Dados iniciais'!$C$8</definedName>
    <definedName name="E_G">'Dados iniciais'!$C$27</definedName>
    <definedName name="E_P">'Dados iniciais'!$C$21</definedName>
    <definedName name="endurecimento_G">'Dados iniciais'!$C$29</definedName>
    <definedName name="endurecimento_P">'Dados iniciais'!$C$23</definedName>
    <definedName name="engrenamento">'Dados iniciais'!$C$9</definedName>
    <definedName name="fat_A">'Tensão de Flexão'!$H$21</definedName>
    <definedName name="fat_B">'Tensão de Flexão'!$H$22</definedName>
    <definedName name="fat_C">'Tensão de Flexão'!$H$23</definedName>
    <definedName name="fi_t">'Dados iniciais'!$C$7</definedName>
    <definedName name="fonte_pot">'Dados iniciais'!$C$12</definedName>
    <definedName name="H">'Dados iniciais'!$C$11</definedName>
    <definedName name="HB_G">'Dados iniciais'!$C$30</definedName>
    <definedName name="HB_P">'Dados iniciais'!$C$24</definedName>
    <definedName name="K_B">'Tensão de Flexão'!$C$25</definedName>
    <definedName name="K_H">'Tensão de Flexão'!$C$14</definedName>
    <definedName name="K_o">'Tensão de Flexão'!$C$7</definedName>
    <definedName name="K_s">'Tensão de Flexão'!$C$12</definedName>
    <definedName name="K_v">'Tensão de Flexão'!$C$9</definedName>
    <definedName name="largura">'Dados iniciais'!$C$5</definedName>
    <definedName name="m_G">'Tensão de Contato'!$C$10</definedName>
    <definedName name="m_N">'Tensão de Contato'!$C$12</definedName>
    <definedName name="m_t">'Dados iniciais'!$C$6</definedName>
    <definedName name="maq_acionada">'Dados iniciais'!$C$13</definedName>
    <definedName name="mat_pinhao">'Dados iniciais'!$C$19</definedName>
    <definedName name="material_G">'Dados iniciais'!$C$25</definedName>
    <definedName name="material_P">'Dados iniciais'!$C$19</definedName>
    <definedName name="montagem">'Dados iniciais'!$C$16</definedName>
    <definedName name="N_G">'Dados iniciais'!$C$4</definedName>
    <definedName name="N_P">'Dados iniciais'!$C$3</definedName>
    <definedName name="NC_G" localSheetId="3">'Tensão de Contato'!#REF!</definedName>
    <definedName name="NC_G">'Tensão Admissível de Flexão'!$C$8</definedName>
    <definedName name="NC_P">'Dados iniciais'!$C$31</definedName>
    <definedName name="nu_G">'Dados iniciais'!$C$26</definedName>
    <definedName name="nu_P">'Dados iniciais'!$C$20</definedName>
    <definedName name="Q_v">'Dados iniciais'!$C$14</definedName>
    <definedName name="rot_P">'Dados iniciais'!$C$10</definedName>
    <definedName name="S_c_G">'Tensão Admissível de Contato'!$C$5</definedName>
    <definedName name="S_c_P">'Tensão Admissível de Contato'!$C$3</definedName>
    <definedName name="S_t_G" localSheetId="3">'Tensão de Contato'!#REF!</definedName>
    <definedName name="S_t_G">'Tensão Admissível de Flexão'!$C$5</definedName>
    <definedName name="S_t_P" localSheetId="3">'Tensão de Contato'!#REF!</definedName>
    <definedName name="S_t_P">'Tensão Admissível de Flexão'!$C$3</definedName>
    <definedName name="S_tP" localSheetId="3">'Tensão de Contato'!#REF!</definedName>
    <definedName name="S_tP">'Tensão Admissível de Flexão'!$C$3</definedName>
    <definedName name="sigma_c_adm_G">'Tensão Admissível de Contato'!$C$13</definedName>
    <definedName name="sigma_c_adm_P">'Tensão Admissível de Contato'!$C$12</definedName>
    <definedName name="sigma_c_G">'Tensão de Contato'!$C$15</definedName>
    <definedName name="sigma_c_P">'Tensão de Contato'!$C$14</definedName>
    <definedName name="sigma_f_adm_G" localSheetId="3">'Tensão de Contato'!#REF!</definedName>
    <definedName name="sigma_f_adm_G">'Tensão Admissível de Flexão'!$C$13</definedName>
    <definedName name="sigma_f_adm_P" localSheetId="3">'Tensão de Contato'!#REF!</definedName>
    <definedName name="sigma_f_adm_P">'Tensão Admissível de Flexão'!$C$12</definedName>
    <definedName name="sigma_f_G">'Tensão de Flexão'!$C$31</definedName>
    <definedName name="sigma_f_P">'Tensão de Flexão'!$C$30</definedName>
    <definedName name="V_t">'Tensão de Flexão'!$C$5</definedName>
    <definedName name="V_t_max">'Tensão de Flexão'!$C$11</definedName>
    <definedName name="W_t">'Tensão de Flexão'!$C$6</definedName>
    <definedName name="Y_J_G">'Tensão de Flexão'!$C$28</definedName>
    <definedName name="Y_J_P">'Tensão de Flexão'!$C$27</definedName>
    <definedName name="Y_N_G" localSheetId="3">'Tensão de Contato'!#REF!</definedName>
    <definedName name="Y_N_G">'Tensão Admissível de Flexão'!$C$9</definedName>
    <definedName name="Y_N_P" localSheetId="3">'Tensão de Contato'!#REF!</definedName>
    <definedName name="Y_N_P">'Tensão Admissível de Flexão'!$C$7</definedName>
    <definedName name="Y_TETA" localSheetId="3">'Tensão de Contato'!#REF!</definedName>
    <definedName name="Y_TETA">'Tensão Admissível de Flexão'!$C$10</definedName>
    <definedName name="Y_Z" localSheetId="3">'Tensão de Contato'!#REF!</definedName>
    <definedName name="Y_Z">'Tensão Admissível de Flexão'!$C$11</definedName>
    <definedName name="Z_E">'Tensão de Contato'!$C$3</definedName>
    <definedName name="Z_I">'Tensão de Contato'!$C$8</definedName>
    <definedName name="Z_N_G">'Tensão Admissível de Contato'!$C$8</definedName>
    <definedName name="Z_N_P">'Tensão Admissível de Contato'!$C$7</definedName>
    <definedName name="Z_R">'Tensão de Contato'!$C$7</definedName>
    <definedName name="Z_W_G">'Tensão Admissível de Contato'!$C$11</definedName>
    <definedName name="Z_W_P">'Tensão Admissível de Contato'!$C$9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7" l="1"/>
  <c r="H10" i="7"/>
  <c r="C7" i="7"/>
  <c r="G8" i="7"/>
  <c r="G7" i="7"/>
  <c r="C5" i="7"/>
  <c r="C3" i="7"/>
  <c r="G6" i="7"/>
  <c r="G5" i="7"/>
  <c r="G4" i="7"/>
  <c r="G3" i="7"/>
  <c r="G9" i="6"/>
  <c r="G13" i="6"/>
  <c r="C10" i="6"/>
  <c r="C8" i="6" s="1"/>
  <c r="C3" i="6"/>
  <c r="G12" i="6"/>
  <c r="H11" i="6"/>
  <c r="H10" i="6"/>
  <c r="H8" i="6"/>
  <c r="G7" i="6"/>
  <c r="H6" i="6"/>
  <c r="H5" i="6"/>
  <c r="H4" i="6"/>
  <c r="H3" i="6"/>
  <c r="G11" i="3"/>
  <c r="C31" i="1"/>
  <c r="C7" i="3"/>
  <c r="G9" i="3"/>
  <c r="G7" i="3"/>
  <c r="G6" i="3"/>
  <c r="G5" i="3"/>
  <c r="C5" i="3"/>
  <c r="C3" i="3"/>
  <c r="G4" i="3"/>
  <c r="G3" i="3"/>
  <c r="C11" i="7" l="1"/>
  <c r="C12" i="7"/>
  <c r="C8" i="3"/>
  <c r="C12" i="3"/>
  <c r="C29" i="2"/>
  <c r="G28" i="2"/>
  <c r="G27" i="2"/>
  <c r="G26" i="2"/>
  <c r="C9" i="3" l="1"/>
  <c r="C8" i="7"/>
  <c r="C13" i="7" s="1"/>
  <c r="C13" i="3"/>
  <c r="F24" i="2"/>
  <c r="H23" i="2"/>
  <c r="C21" i="2" s="1"/>
  <c r="F21" i="2"/>
  <c r="G20" i="2"/>
  <c r="F18" i="2"/>
  <c r="C16" i="2"/>
  <c r="C13" i="2"/>
  <c r="G9" i="2"/>
  <c r="G10" i="2" s="1"/>
  <c r="C11" i="2" s="1"/>
  <c r="G8" i="2"/>
  <c r="G7" i="2"/>
  <c r="C4" i="2"/>
  <c r="C3" i="2"/>
  <c r="C5" i="2" l="1"/>
  <c r="C6" i="2" s="1"/>
  <c r="C19" i="2"/>
  <c r="C15" i="2"/>
  <c r="C15" i="6" l="1"/>
  <c r="C7" i="4" s="1"/>
  <c r="C14" i="2"/>
  <c r="G17" i="2"/>
  <c r="C9" i="2"/>
  <c r="C14" i="6" s="1"/>
  <c r="C6" i="4" s="1"/>
  <c r="C30" i="2" l="1"/>
  <c r="C3" i="4" s="1"/>
  <c r="C31" i="2"/>
  <c r="C4" i="4" s="1"/>
</calcChain>
</file>

<file path=xl/sharedStrings.xml><?xml version="1.0" encoding="utf-8"?>
<sst xmlns="http://schemas.openxmlformats.org/spreadsheetml/2006/main" count="359" uniqueCount="217">
  <si>
    <t>número de dentes do pinhão</t>
  </si>
  <si>
    <t>ângulo de pressão</t>
  </si>
  <si>
    <t>graus</t>
  </si>
  <si>
    <t>rotação do pinhão</t>
  </si>
  <si>
    <t>rpm</t>
  </si>
  <si>
    <t>potência</t>
  </si>
  <si>
    <t>H</t>
  </si>
  <si>
    <t>número de dentes da coroa</t>
  </si>
  <si>
    <t>módulo</t>
  </si>
  <si>
    <t>mm</t>
  </si>
  <si>
    <t>largura</t>
  </si>
  <si>
    <t>índice de qualidade</t>
  </si>
  <si>
    <t>montagem</t>
  </si>
  <si>
    <t>material do pinhão</t>
  </si>
  <si>
    <t>MPa</t>
  </si>
  <si>
    <t>N_P</t>
  </si>
  <si>
    <t>n_P</t>
  </si>
  <si>
    <t>N_G</t>
  </si>
  <si>
    <t>b</t>
  </si>
  <si>
    <t>Q_v</t>
  </si>
  <si>
    <t>HB_P</t>
  </si>
  <si>
    <t>W</t>
  </si>
  <si>
    <t>m_t</t>
  </si>
  <si>
    <t>dureza do pinhão</t>
  </si>
  <si>
    <t>material da coroa</t>
  </si>
  <si>
    <t>aço Grau 1</t>
  </si>
  <si>
    <t>endurecimento</t>
  </si>
  <si>
    <t>total</t>
  </si>
  <si>
    <t>entre mancais imediatamente adjacentes</t>
  </si>
  <si>
    <t>dureza da coroa</t>
  </si>
  <si>
    <t>HB_G</t>
  </si>
  <si>
    <t>módulo de elasticidade</t>
  </si>
  <si>
    <t>coeficiente de Poisson</t>
  </si>
  <si>
    <t>nu_P</t>
  </si>
  <si>
    <t>E_P</t>
  </si>
  <si>
    <t>GPa</t>
  </si>
  <si>
    <t>nu_G</t>
  </si>
  <si>
    <t>E_G</t>
  </si>
  <si>
    <t>vida esperada</t>
  </si>
  <si>
    <t>NC_P</t>
  </si>
  <si>
    <t>ciclos</t>
  </si>
  <si>
    <t>confiabilidade</t>
  </si>
  <si>
    <t>R</t>
  </si>
  <si>
    <t>coroamento</t>
  </si>
  <si>
    <t>sem coroamento</t>
  </si>
  <si>
    <t>aplicação</t>
  </si>
  <si>
    <t>unidade redutora de engrenagem comercial</t>
  </si>
  <si>
    <t>Força tangencial</t>
  </si>
  <si>
    <t>Fator de sobrecarga</t>
  </si>
  <si>
    <t>Fator dinâmico</t>
  </si>
  <si>
    <t>Fator de tamanho</t>
  </si>
  <si>
    <t>Largura da face mais estreita</t>
  </si>
  <si>
    <t>Fator de distribuição de carga</t>
  </si>
  <si>
    <t>Fator de espessura do aro</t>
  </si>
  <si>
    <t>Módulo métrico transversal</t>
  </si>
  <si>
    <t>W_t</t>
  </si>
  <si>
    <t>K_o</t>
  </si>
  <si>
    <t>K_v</t>
  </si>
  <si>
    <t>K_s</t>
  </si>
  <si>
    <t>K_H</t>
  </si>
  <si>
    <t>K_B</t>
  </si>
  <si>
    <t>N</t>
  </si>
  <si>
    <t>Descrição</t>
  </si>
  <si>
    <t>Símbolo</t>
  </si>
  <si>
    <t>Unidade</t>
  </si>
  <si>
    <t>Valor</t>
  </si>
  <si>
    <t>Fonte</t>
  </si>
  <si>
    <t>Eq. 14-15</t>
  </si>
  <si>
    <t>Eq. 14-27</t>
  </si>
  <si>
    <t>Eq. 14-30</t>
  </si>
  <si>
    <t>Eq. 14-40</t>
  </si>
  <si>
    <t>Fig. 14-16</t>
  </si>
  <si>
    <t>diâmetro primitivo pinhão</t>
  </si>
  <si>
    <t>d_P</t>
  </si>
  <si>
    <t>diâmetro primitivo coroa</t>
  </si>
  <si>
    <t>d_G</t>
  </si>
  <si>
    <t>velocidade tangencial</t>
  </si>
  <si>
    <t>V_t</t>
  </si>
  <si>
    <t>m/s</t>
  </si>
  <si>
    <t>uniforme</t>
  </si>
  <si>
    <t>fonte de potência</t>
  </si>
  <si>
    <t>máquina acionada</t>
  </si>
  <si>
    <t>Informação</t>
  </si>
  <si>
    <t>fonte de potência:</t>
  </si>
  <si>
    <t>máquina acionada:</t>
  </si>
  <si>
    <t>B=</t>
  </si>
  <si>
    <t>A=</t>
  </si>
  <si>
    <t>-</t>
  </si>
  <si>
    <t>Velocidade máxima</t>
  </si>
  <si>
    <t>V_t_max</t>
  </si>
  <si>
    <t>Eq. 14-29</t>
  </si>
  <si>
    <t>Sec. 14-10</t>
  </si>
  <si>
    <t>aplicabilidade:</t>
  </si>
  <si>
    <t>b/d_P &lt;= 2</t>
  </si>
  <si>
    <t>b_max</t>
  </si>
  <si>
    <t>montagem entre mancais</t>
  </si>
  <si>
    <t>fator de correção de carga:</t>
  </si>
  <si>
    <t>C_mc</t>
  </si>
  <si>
    <t>Eq. 14-31</t>
  </si>
  <si>
    <t>C_pf</t>
  </si>
  <si>
    <t>Eq. 14-32</t>
  </si>
  <si>
    <t>fator de proporção do pinhão:</t>
  </si>
  <si>
    <t>modificador da proporção do pinhão:</t>
  </si>
  <si>
    <t>C_pm</t>
  </si>
  <si>
    <t>Eq. 14-33</t>
  </si>
  <si>
    <t>S1/S &lt; 0,175</t>
  </si>
  <si>
    <t>fator de alinhamento:</t>
  </si>
  <si>
    <t>C_ma</t>
  </si>
  <si>
    <t>Eq. 14-34</t>
  </si>
  <si>
    <t>C=</t>
  </si>
  <si>
    <t>Ver norma para SI</t>
  </si>
  <si>
    <t>fator de correção do alinhamento:</t>
  </si>
  <si>
    <t>C_e</t>
  </si>
  <si>
    <t>Eq. 14-35</t>
  </si>
  <si>
    <t>condição de ajuste</t>
  </si>
  <si>
    <t>sem ajuste</t>
  </si>
  <si>
    <t>razão de esforço:</t>
  </si>
  <si>
    <t>m_B</t>
  </si>
  <si>
    <t>corpo  da coroa:</t>
  </si>
  <si>
    <t>&gt;1,2</t>
  </si>
  <si>
    <t>Fator geométrico para flexão do pinhão</t>
  </si>
  <si>
    <t>Fator geométrico para flexão da coroa</t>
  </si>
  <si>
    <t>sem aro</t>
  </si>
  <si>
    <t>corpo do pinhão</t>
  </si>
  <si>
    <t>corpo da coroa</t>
  </si>
  <si>
    <t>TENSÃO DE FLEXÃO</t>
  </si>
  <si>
    <t>TENSÃO ADMISSÍVEL DE FLEXÃO</t>
  </si>
  <si>
    <t>Resistência à fadiga na flexão</t>
  </si>
  <si>
    <t>Fator de ciclagem na flexão</t>
  </si>
  <si>
    <t>Fator de temperatura</t>
  </si>
  <si>
    <t>Fator de confiabilidade</t>
  </si>
  <si>
    <t>Y_TETA</t>
  </si>
  <si>
    <t>Y_Z</t>
  </si>
  <si>
    <t>Fig. 14-2</t>
  </si>
  <si>
    <t>material do pinhão:</t>
  </si>
  <si>
    <t>dureza pinhão:</t>
  </si>
  <si>
    <t>S_t_P</t>
  </si>
  <si>
    <t>S_t_G</t>
  </si>
  <si>
    <t>material da coroa:</t>
  </si>
  <si>
    <t>dureza da coroa:</t>
  </si>
  <si>
    <t>curva utilizada:</t>
  </si>
  <si>
    <t>superior</t>
  </si>
  <si>
    <t>curva_NC</t>
  </si>
  <si>
    <t>Y_N_P</t>
  </si>
  <si>
    <t>Y_N_G</t>
  </si>
  <si>
    <t>número de ciclos da coroa:</t>
  </si>
  <si>
    <t>NC_G</t>
  </si>
  <si>
    <t>Fig. 14-14</t>
  </si>
  <si>
    <t>Para temperaturas abaixo de 120 C</t>
  </si>
  <si>
    <t>Tab. 14-10</t>
  </si>
  <si>
    <t>confiabilidade:</t>
  </si>
  <si>
    <t>Tensão admissível de flexão</t>
  </si>
  <si>
    <t>sigma_f_P</t>
  </si>
  <si>
    <t>sigma_f_adm_P</t>
  </si>
  <si>
    <t>Eq. 14-17</t>
  </si>
  <si>
    <t>Y_J_P</t>
  </si>
  <si>
    <t>Y_J_G</t>
  </si>
  <si>
    <t xml:space="preserve">Tensão de flexão </t>
  </si>
  <si>
    <t>sigma_f_G</t>
  </si>
  <si>
    <t>sigma_f_adm_G</t>
  </si>
  <si>
    <t>TENSÃO DE CONTATO</t>
  </si>
  <si>
    <t>Coeficiente elástico</t>
  </si>
  <si>
    <t>Z_E</t>
  </si>
  <si>
    <t>Fator de condição superficial</t>
  </si>
  <si>
    <t>Z_R</t>
  </si>
  <si>
    <t>Fator geométrico para contato</t>
  </si>
  <si>
    <t>Z_I</t>
  </si>
  <si>
    <t>MPa^0,5</t>
  </si>
  <si>
    <t>Eq. 14-13</t>
  </si>
  <si>
    <t>coeficientes de Poisson:</t>
  </si>
  <si>
    <t>módulos de elasticidade:</t>
  </si>
  <si>
    <t>aplicação:</t>
  </si>
  <si>
    <t>ângulo de pressão transversal:</t>
  </si>
  <si>
    <t>fi_t</t>
  </si>
  <si>
    <t>razão de engrenamento:</t>
  </si>
  <si>
    <t>m_G</t>
  </si>
  <si>
    <t>Eq. 14-22</t>
  </si>
  <si>
    <t>número de dentes:</t>
  </si>
  <si>
    <t>razão de compartilhamento de carga:</t>
  </si>
  <si>
    <t>m_N</t>
  </si>
  <si>
    <t>formato dos dentes:</t>
  </si>
  <si>
    <t>dentes retos</t>
  </si>
  <si>
    <t>engrenamento</t>
  </si>
  <si>
    <t>externo</t>
  </si>
  <si>
    <t>engrenamento:</t>
  </si>
  <si>
    <t>Tensão de contato:</t>
  </si>
  <si>
    <t>sigma_c_P</t>
  </si>
  <si>
    <t>Eq. 14-16</t>
  </si>
  <si>
    <t>sigma_c_G</t>
  </si>
  <si>
    <t>TENSÃO ADMISSÍVEL DE CONTATO</t>
  </si>
  <si>
    <t>Resistência à fadiga no contato:</t>
  </si>
  <si>
    <t>Fator de ciclagem no contato:</t>
  </si>
  <si>
    <t>Fator de razão de dureza:</t>
  </si>
  <si>
    <t>S_c_P</t>
  </si>
  <si>
    <t>Fig. 14-5</t>
  </si>
  <si>
    <t>S_c_G</t>
  </si>
  <si>
    <t>Z_N_P</t>
  </si>
  <si>
    <t>Fig. 14-15</t>
  </si>
  <si>
    <t>Z_N_G</t>
  </si>
  <si>
    <t>Z_W_P</t>
  </si>
  <si>
    <t>Z_W_G</t>
  </si>
  <si>
    <t>razão de dureza:</t>
  </si>
  <si>
    <t>HB_P/HB_G</t>
  </si>
  <si>
    <t>A'</t>
  </si>
  <si>
    <t>Eq. 14-36</t>
  </si>
  <si>
    <t>Tensão admissível de contato:</t>
  </si>
  <si>
    <t>sigma_c_adm_P</t>
  </si>
  <si>
    <t>Eq. 14-18</t>
  </si>
  <si>
    <t>sigma_c_adm_G</t>
  </si>
  <si>
    <t>FATORES DE SEGURANÇA</t>
  </si>
  <si>
    <t>Fator de segurança na flexão</t>
  </si>
  <si>
    <t>S_F_P</t>
  </si>
  <si>
    <t>S_F_G</t>
  </si>
  <si>
    <t>Fator de segurança no contato</t>
  </si>
  <si>
    <t>S_H_P</t>
  </si>
  <si>
    <t>S_H_G</t>
  </si>
  <si>
    <t>DADOS INICIAIS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</si>
</sst>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.0000"/>
    <numFmt numFmtId="166" formatCode="0.000"/>
    <numFmt numFmtId="167" formatCode="0.00000"/>
    <numFmt numFmtId="171" formatCode="0.000E+00"/>
  </numFmts>
  <fonts count="2" x14ac:knownFonts="1"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right" vertical="center"/>
    </xf>
    <xf numFmtId="165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0" fillId="0" borderId="0" xfId="0" applyFill="1" applyBorder="1" applyAlignment="1">
      <alignment horizontal="right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Border="1" applyAlignment="1">
      <alignment horizontal="right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vertical="center"/>
    </xf>
    <xf numFmtId="11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4" xfId="0" applyBorder="1" applyAlignment="1">
      <alignment horizontal="center" vertical="center" wrapText="1"/>
    </xf>
    <xf numFmtId="166" fontId="0" fillId="0" borderId="3" xfId="0" applyNumberForma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right" vertical="center"/>
    </xf>
    <xf numFmtId="11" fontId="0" fillId="0" borderId="0" xfId="0" applyNumberForma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71" fontId="0" fillId="0" borderId="1" xfId="0" applyNumberFormat="1" applyBorder="1" applyAlignment="1">
      <alignment horizontal="center" vertical="center"/>
    </xf>
    <xf numFmtId="166" fontId="0" fillId="0" borderId="6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2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166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0" borderId="0" xfId="0" applyFill="1" applyBorder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horizontal="right" vertical="center"/>
    </xf>
  </cellXfs>
  <cellStyles count="1"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topLeftCell="A18" zoomScale="90" zoomScaleNormal="90" workbookViewId="0">
      <selection sqref="A1:D33"/>
    </sheetView>
  </sheetViews>
  <sheetFormatPr defaultRowHeight="13.8" x14ac:dyDescent="0.25"/>
  <cols>
    <col min="1" max="1" width="24" style="1" bestFit="1" customWidth="1"/>
    <col min="2" max="2" width="8.796875" style="2"/>
    <col min="3" max="3" width="22.09765625" style="3" customWidth="1"/>
    <col min="4" max="4" width="8.796875" style="2"/>
  </cols>
  <sheetData>
    <row r="1" spans="1:4" x14ac:dyDescent="0.25">
      <c r="A1" s="33" t="s">
        <v>216</v>
      </c>
      <c r="B1" s="33"/>
      <c r="C1" s="33"/>
      <c r="D1" s="33"/>
    </row>
    <row r="2" spans="1:4" x14ac:dyDescent="0.25">
      <c r="A2" s="79" t="s">
        <v>62</v>
      </c>
      <c r="B2" s="53" t="s">
        <v>63</v>
      </c>
      <c r="C2" s="92" t="s">
        <v>65</v>
      </c>
      <c r="D2" s="53" t="s">
        <v>64</v>
      </c>
    </row>
    <row r="3" spans="1:4" x14ac:dyDescent="0.25">
      <c r="A3" s="93" t="s">
        <v>0</v>
      </c>
      <c r="B3" s="5" t="s">
        <v>15</v>
      </c>
      <c r="C3" s="6">
        <v>17</v>
      </c>
      <c r="D3" s="5" t="s">
        <v>87</v>
      </c>
    </row>
    <row r="4" spans="1:4" x14ac:dyDescent="0.25">
      <c r="A4" s="93" t="s">
        <v>7</v>
      </c>
      <c r="B4" s="5" t="s">
        <v>17</v>
      </c>
      <c r="C4" s="6">
        <v>52</v>
      </c>
      <c r="D4" s="5" t="s">
        <v>87</v>
      </c>
    </row>
    <row r="5" spans="1:4" x14ac:dyDescent="0.25">
      <c r="A5" s="93" t="s">
        <v>10</v>
      </c>
      <c r="B5" s="5" t="s">
        <v>18</v>
      </c>
      <c r="C5" s="6">
        <v>38</v>
      </c>
      <c r="D5" s="5" t="s">
        <v>9</v>
      </c>
    </row>
    <row r="6" spans="1:4" x14ac:dyDescent="0.25">
      <c r="A6" s="93" t="s">
        <v>8</v>
      </c>
      <c r="B6" s="5" t="s">
        <v>22</v>
      </c>
      <c r="C6" s="6">
        <v>2.5</v>
      </c>
      <c r="D6" s="5" t="s">
        <v>9</v>
      </c>
    </row>
    <row r="7" spans="1:4" x14ac:dyDescent="0.25">
      <c r="A7" s="93" t="s">
        <v>1</v>
      </c>
      <c r="B7" s="5" t="s">
        <v>173</v>
      </c>
      <c r="C7" s="6">
        <v>20</v>
      </c>
      <c r="D7" s="5" t="s">
        <v>2</v>
      </c>
    </row>
    <row r="8" spans="1:4" x14ac:dyDescent="0.25">
      <c r="A8" s="93" t="s">
        <v>180</v>
      </c>
      <c r="B8" s="5" t="s">
        <v>87</v>
      </c>
      <c r="C8" s="6" t="s">
        <v>181</v>
      </c>
      <c r="D8" s="5" t="s">
        <v>87</v>
      </c>
    </row>
    <row r="9" spans="1:4" x14ac:dyDescent="0.25">
      <c r="A9" s="94" t="s">
        <v>182</v>
      </c>
      <c r="B9" s="55" t="s">
        <v>87</v>
      </c>
      <c r="C9" s="68" t="s">
        <v>183</v>
      </c>
      <c r="D9" s="55" t="s">
        <v>87</v>
      </c>
    </row>
    <row r="10" spans="1:4" x14ac:dyDescent="0.25">
      <c r="A10" s="93" t="s">
        <v>3</v>
      </c>
      <c r="B10" s="5" t="s">
        <v>16</v>
      </c>
      <c r="C10" s="6">
        <v>1800</v>
      </c>
      <c r="D10" s="5" t="s">
        <v>4</v>
      </c>
    </row>
    <row r="11" spans="1:4" x14ac:dyDescent="0.25">
      <c r="A11" s="94" t="s">
        <v>5</v>
      </c>
      <c r="B11" s="55" t="s">
        <v>6</v>
      </c>
      <c r="C11" s="68">
        <v>3000</v>
      </c>
      <c r="D11" s="55" t="s">
        <v>21</v>
      </c>
    </row>
    <row r="12" spans="1:4" x14ac:dyDescent="0.25">
      <c r="A12" s="93" t="s">
        <v>80</v>
      </c>
      <c r="B12" s="5" t="s">
        <v>87</v>
      </c>
      <c r="C12" s="6" t="s">
        <v>79</v>
      </c>
      <c r="D12" s="5" t="s">
        <v>87</v>
      </c>
    </row>
    <row r="13" spans="1:4" x14ac:dyDescent="0.25">
      <c r="A13" s="94" t="s">
        <v>81</v>
      </c>
      <c r="B13" s="55" t="s">
        <v>87</v>
      </c>
      <c r="C13" s="68" t="s">
        <v>79</v>
      </c>
      <c r="D13" s="55" t="s">
        <v>87</v>
      </c>
    </row>
    <row r="14" spans="1:4" x14ac:dyDescent="0.25">
      <c r="A14" s="93" t="s">
        <v>11</v>
      </c>
      <c r="B14" s="5" t="s">
        <v>19</v>
      </c>
      <c r="C14" s="6">
        <v>6</v>
      </c>
      <c r="D14" s="5" t="s">
        <v>87</v>
      </c>
    </row>
    <row r="15" spans="1:4" x14ac:dyDescent="0.25">
      <c r="A15" s="93" t="s">
        <v>43</v>
      </c>
      <c r="B15" s="5" t="s">
        <v>87</v>
      </c>
      <c r="C15" s="6" t="s">
        <v>44</v>
      </c>
      <c r="D15" s="5" t="s">
        <v>87</v>
      </c>
    </row>
    <row r="16" spans="1:4" ht="27.6" x14ac:dyDescent="0.25">
      <c r="A16" s="93" t="s">
        <v>12</v>
      </c>
      <c r="B16" s="5" t="s">
        <v>87</v>
      </c>
      <c r="C16" s="6" t="s">
        <v>28</v>
      </c>
      <c r="D16" s="5" t="s">
        <v>87</v>
      </c>
    </row>
    <row r="17" spans="1:4" ht="27.6" x14ac:dyDescent="0.25">
      <c r="A17" s="93" t="s">
        <v>45</v>
      </c>
      <c r="B17" s="5" t="s">
        <v>87</v>
      </c>
      <c r="C17" s="6" t="s">
        <v>46</v>
      </c>
      <c r="D17" s="5" t="s">
        <v>87</v>
      </c>
    </row>
    <row r="18" spans="1:4" x14ac:dyDescent="0.25">
      <c r="A18" s="94" t="s">
        <v>114</v>
      </c>
      <c r="B18" s="55" t="s">
        <v>87</v>
      </c>
      <c r="C18" s="68" t="s">
        <v>115</v>
      </c>
      <c r="D18" s="55" t="s">
        <v>87</v>
      </c>
    </row>
    <row r="19" spans="1:4" x14ac:dyDescent="0.25">
      <c r="A19" s="93" t="s">
        <v>13</v>
      </c>
      <c r="B19" s="5" t="s">
        <v>87</v>
      </c>
      <c r="C19" s="6" t="s">
        <v>25</v>
      </c>
      <c r="D19" s="5" t="s">
        <v>87</v>
      </c>
    </row>
    <row r="20" spans="1:4" x14ac:dyDescent="0.25">
      <c r="A20" s="93" t="s">
        <v>32</v>
      </c>
      <c r="B20" s="5" t="s">
        <v>33</v>
      </c>
      <c r="C20" s="6">
        <v>0.3</v>
      </c>
      <c r="D20" s="5" t="s">
        <v>87</v>
      </c>
    </row>
    <row r="21" spans="1:4" x14ac:dyDescent="0.25">
      <c r="A21" s="93" t="s">
        <v>31</v>
      </c>
      <c r="B21" s="5" t="s">
        <v>34</v>
      </c>
      <c r="C21" s="6">
        <v>207</v>
      </c>
      <c r="D21" s="5" t="s">
        <v>35</v>
      </c>
    </row>
    <row r="22" spans="1:4" x14ac:dyDescent="0.25">
      <c r="A22" s="93" t="s">
        <v>123</v>
      </c>
      <c r="B22" s="5" t="s">
        <v>87</v>
      </c>
      <c r="C22" s="6" t="s">
        <v>122</v>
      </c>
      <c r="D22" s="5" t="s">
        <v>87</v>
      </c>
    </row>
    <row r="23" spans="1:4" x14ac:dyDescent="0.25">
      <c r="A23" s="93" t="s">
        <v>26</v>
      </c>
      <c r="B23" s="5" t="s">
        <v>87</v>
      </c>
      <c r="C23" s="6" t="s">
        <v>27</v>
      </c>
      <c r="D23" s="5" t="s">
        <v>87</v>
      </c>
    </row>
    <row r="24" spans="1:4" x14ac:dyDescent="0.25">
      <c r="A24" s="94" t="s">
        <v>23</v>
      </c>
      <c r="B24" s="55" t="s">
        <v>20</v>
      </c>
      <c r="C24" s="68">
        <v>240</v>
      </c>
      <c r="D24" s="55" t="s">
        <v>87</v>
      </c>
    </row>
    <row r="25" spans="1:4" x14ac:dyDescent="0.25">
      <c r="A25" s="93" t="s">
        <v>24</v>
      </c>
      <c r="B25" s="5" t="s">
        <v>87</v>
      </c>
      <c r="C25" s="6" t="s">
        <v>25</v>
      </c>
      <c r="D25" s="5" t="s">
        <v>87</v>
      </c>
    </row>
    <row r="26" spans="1:4" x14ac:dyDescent="0.25">
      <c r="A26" s="93" t="s">
        <v>32</v>
      </c>
      <c r="B26" s="5" t="s">
        <v>36</v>
      </c>
      <c r="C26" s="6">
        <v>0.3</v>
      </c>
      <c r="D26" s="5" t="s">
        <v>87</v>
      </c>
    </row>
    <row r="27" spans="1:4" x14ac:dyDescent="0.25">
      <c r="A27" s="93" t="s">
        <v>31</v>
      </c>
      <c r="B27" s="5" t="s">
        <v>37</v>
      </c>
      <c r="C27" s="6">
        <v>207</v>
      </c>
      <c r="D27" s="5" t="s">
        <v>35</v>
      </c>
    </row>
    <row r="28" spans="1:4" x14ac:dyDescent="0.25">
      <c r="A28" s="93" t="s">
        <v>124</v>
      </c>
      <c r="B28" s="5" t="s">
        <v>87</v>
      </c>
      <c r="C28" s="6" t="s">
        <v>122</v>
      </c>
      <c r="D28" s="5" t="s">
        <v>87</v>
      </c>
    </row>
    <row r="29" spans="1:4" x14ac:dyDescent="0.25">
      <c r="A29" s="93" t="s">
        <v>26</v>
      </c>
      <c r="B29" s="5" t="s">
        <v>87</v>
      </c>
      <c r="C29" s="6" t="s">
        <v>27</v>
      </c>
      <c r="D29" s="5" t="s">
        <v>87</v>
      </c>
    </row>
    <row r="30" spans="1:4" x14ac:dyDescent="0.25">
      <c r="A30" s="94" t="s">
        <v>29</v>
      </c>
      <c r="B30" s="55" t="s">
        <v>30</v>
      </c>
      <c r="C30" s="68">
        <v>200</v>
      </c>
      <c r="D30" s="55" t="s">
        <v>87</v>
      </c>
    </row>
    <row r="31" spans="1:4" x14ac:dyDescent="0.25">
      <c r="A31" s="93" t="s">
        <v>38</v>
      </c>
      <c r="B31" s="5" t="s">
        <v>39</v>
      </c>
      <c r="C31" s="45">
        <f>10^8</f>
        <v>100000000</v>
      </c>
      <c r="D31" s="5" t="s">
        <v>40</v>
      </c>
    </row>
    <row r="32" spans="1:4" x14ac:dyDescent="0.25">
      <c r="A32" s="95" t="s">
        <v>140</v>
      </c>
      <c r="B32" s="5" t="s">
        <v>142</v>
      </c>
      <c r="C32" s="6" t="s">
        <v>141</v>
      </c>
      <c r="D32" s="5" t="s">
        <v>87</v>
      </c>
    </row>
    <row r="33" spans="1:4" x14ac:dyDescent="0.25">
      <c r="A33" s="94" t="s">
        <v>41</v>
      </c>
      <c r="B33" s="55" t="s">
        <v>42</v>
      </c>
      <c r="C33" s="68">
        <v>0.9</v>
      </c>
      <c r="D33" s="55" t="s">
        <v>87</v>
      </c>
    </row>
  </sheetData>
  <mergeCells count="1">
    <mergeCell ref="A1:D1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opLeftCell="A22" zoomScale="90" zoomScaleNormal="90" workbookViewId="0">
      <selection sqref="A1:J31"/>
    </sheetView>
  </sheetViews>
  <sheetFormatPr defaultRowHeight="13.8" x14ac:dyDescent="0.25"/>
  <cols>
    <col min="1" max="1" width="30.69921875" style="18" customWidth="1"/>
    <col min="2" max="5" width="12.69921875" style="2" customWidth="1"/>
    <col min="6" max="6" width="20.69921875" style="18" customWidth="1"/>
    <col min="7" max="7" width="12.69921875" style="2" customWidth="1"/>
    <col min="8" max="8" width="9.5" bestFit="1" customWidth="1"/>
  </cols>
  <sheetData>
    <row r="1" spans="1:10" s="1" customFormat="1" ht="19.95" customHeight="1" x14ac:dyDescent="0.25">
      <c r="A1" s="32" t="s">
        <v>125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x14ac:dyDescent="0.25">
      <c r="A2" s="24" t="s">
        <v>62</v>
      </c>
      <c r="B2" s="53" t="s">
        <v>63</v>
      </c>
      <c r="C2" s="53" t="s">
        <v>65</v>
      </c>
      <c r="D2" s="53" t="s">
        <v>64</v>
      </c>
      <c r="E2" s="53" t="s">
        <v>66</v>
      </c>
      <c r="F2" s="24" t="s">
        <v>82</v>
      </c>
      <c r="G2" s="25"/>
      <c r="H2" s="26"/>
      <c r="I2" s="26"/>
      <c r="J2" s="26"/>
    </row>
    <row r="3" spans="1:10" x14ac:dyDescent="0.25">
      <c r="A3" s="16" t="s">
        <v>72</v>
      </c>
      <c r="B3" s="5" t="s">
        <v>73</v>
      </c>
      <c r="C3" s="5">
        <f>m_t*N_P</f>
        <v>42.5</v>
      </c>
      <c r="D3" s="5" t="s">
        <v>9</v>
      </c>
      <c r="E3" s="5"/>
      <c r="F3" s="16"/>
      <c r="G3" s="4"/>
      <c r="H3" s="12"/>
      <c r="I3" s="12"/>
      <c r="J3" s="12"/>
    </row>
    <row r="4" spans="1:10" x14ac:dyDescent="0.25">
      <c r="A4" s="16" t="s">
        <v>74</v>
      </c>
      <c r="B4" s="5" t="s">
        <v>75</v>
      </c>
      <c r="C4" s="62">
        <f>m_t*N_G</f>
        <v>130</v>
      </c>
      <c r="D4" s="5" t="s">
        <v>9</v>
      </c>
      <c r="E4" s="5"/>
      <c r="F4" s="16"/>
      <c r="G4" s="4"/>
      <c r="H4" s="12"/>
      <c r="I4" s="12"/>
      <c r="J4" s="12"/>
    </row>
    <row r="5" spans="1:10" x14ac:dyDescent="0.25">
      <c r="A5" s="16" t="s">
        <v>76</v>
      </c>
      <c r="B5" s="5" t="s">
        <v>77</v>
      </c>
      <c r="C5" s="54">
        <f>PI()*d_P*rot_P/60000</f>
        <v>4.0055306333269858</v>
      </c>
      <c r="D5" s="5" t="s">
        <v>78</v>
      </c>
      <c r="E5" s="5"/>
      <c r="F5" s="16"/>
      <c r="G5" s="4"/>
      <c r="H5" s="12"/>
      <c r="I5" s="12"/>
      <c r="J5" s="12"/>
    </row>
    <row r="6" spans="1:10" x14ac:dyDescent="0.25">
      <c r="A6" s="20" t="s">
        <v>47</v>
      </c>
      <c r="B6" s="55" t="s">
        <v>55</v>
      </c>
      <c r="C6" s="58">
        <f>H/V_t</f>
        <v>748.96443807950754</v>
      </c>
      <c r="D6" s="55" t="s">
        <v>61</v>
      </c>
      <c r="E6" s="55"/>
      <c r="F6" s="20"/>
      <c r="G6" s="10"/>
      <c r="H6" s="9"/>
      <c r="I6" s="9"/>
      <c r="J6" s="9"/>
    </row>
    <row r="7" spans="1:10" x14ac:dyDescent="0.25">
      <c r="A7" s="16" t="s">
        <v>48</v>
      </c>
      <c r="B7" s="5" t="s">
        <v>56</v>
      </c>
      <c r="C7" s="5">
        <v>1</v>
      </c>
      <c r="D7" s="5" t="s">
        <v>87</v>
      </c>
      <c r="E7" s="5" t="s">
        <v>67</v>
      </c>
      <c r="F7" s="29" t="s">
        <v>83</v>
      </c>
      <c r="G7" s="4" t="str">
        <f>fonte_pot</f>
        <v>uniforme</v>
      </c>
    </row>
    <row r="8" spans="1:10" x14ac:dyDescent="0.25">
      <c r="A8" s="16"/>
      <c r="B8" s="5"/>
      <c r="C8" s="5"/>
      <c r="D8" s="5"/>
      <c r="E8" s="5"/>
      <c r="F8" s="29" t="s">
        <v>84</v>
      </c>
      <c r="G8" s="4" t="str">
        <f>maq_acionada</f>
        <v>uniforme</v>
      </c>
    </row>
    <row r="9" spans="1:10" x14ac:dyDescent="0.25">
      <c r="A9" s="19" t="s">
        <v>49</v>
      </c>
      <c r="B9" s="56" t="s">
        <v>57</v>
      </c>
      <c r="C9" s="63">
        <f>((coef_A+SQRT(200*V_t))/coef_A)^coef_B</f>
        <v>1.3771309718223348</v>
      </c>
      <c r="D9" s="56" t="s">
        <v>87</v>
      </c>
      <c r="E9" s="56" t="s">
        <v>68</v>
      </c>
      <c r="F9" s="23" t="s">
        <v>85</v>
      </c>
      <c r="G9" s="11">
        <f>0.25*(12-Q_v)^(2/3)</f>
        <v>0.82548181222365657</v>
      </c>
      <c r="H9" s="7"/>
      <c r="I9" s="7"/>
      <c r="J9" s="7"/>
    </row>
    <row r="10" spans="1:10" x14ac:dyDescent="0.25">
      <c r="A10" s="16"/>
      <c r="B10" s="5"/>
      <c r="C10" s="5"/>
      <c r="D10" s="5"/>
      <c r="E10" s="5"/>
      <c r="F10" s="21" t="s">
        <v>86</v>
      </c>
      <c r="G10" s="14">
        <f>50+56*(1-coef_B)</f>
        <v>59.773018515475229</v>
      </c>
      <c r="H10" s="12"/>
      <c r="I10" s="12"/>
      <c r="J10" s="12"/>
    </row>
    <row r="11" spans="1:10" x14ac:dyDescent="0.25">
      <c r="A11" s="20" t="s">
        <v>88</v>
      </c>
      <c r="B11" s="55" t="s">
        <v>89</v>
      </c>
      <c r="C11" s="61">
        <f>((coef_A+(Q_v-3))^2)/200</f>
        <v>19.702259267720979</v>
      </c>
      <c r="D11" s="55" t="s">
        <v>78</v>
      </c>
      <c r="E11" s="55" t="s">
        <v>90</v>
      </c>
      <c r="F11" s="20"/>
      <c r="G11" s="10"/>
      <c r="H11" s="9"/>
      <c r="I11" s="9"/>
      <c r="J11" s="9"/>
    </row>
    <row r="12" spans="1:10" x14ac:dyDescent="0.25">
      <c r="A12" s="18" t="s">
        <v>50</v>
      </c>
      <c r="B12" s="5" t="s">
        <v>58</v>
      </c>
      <c r="C12" s="5">
        <v>1</v>
      </c>
      <c r="D12" s="5" t="s">
        <v>87</v>
      </c>
      <c r="E12" s="5" t="s">
        <v>91</v>
      </c>
    </row>
    <row r="13" spans="1:10" x14ac:dyDescent="0.25">
      <c r="A13" s="24" t="s">
        <v>51</v>
      </c>
      <c r="B13" s="53" t="s">
        <v>18</v>
      </c>
      <c r="C13" s="53">
        <f>largura</f>
        <v>38</v>
      </c>
      <c r="D13" s="53" t="s">
        <v>9</v>
      </c>
      <c r="E13" s="53"/>
      <c r="F13" s="24"/>
      <c r="G13" s="25"/>
      <c r="H13" s="26"/>
      <c r="I13" s="26"/>
      <c r="J13" s="26"/>
    </row>
    <row r="14" spans="1:10" x14ac:dyDescent="0.25">
      <c r="A14" s="19" t="s">
        <v>52</v>
      </c>
      <c r="B14" s="56" t="s">
        <v>59</v>
      </c>
      <c r="C14" s="63">
        <f>1+C_mc*(C_pf*C_pm+C_ma*C_e)</f>
        <v>1.2210374069651668</v>
      </c>
      <c r="D14" s="56" t="s">
        <v>87</v>
      </c>
      <c r="E14" s="56" t="s">
        <v>69</v>
      </c>
      <c r="F14" s="19"/>
      <c r="G14" s="8"/>
      <c r="H14" s="7"/>
      <c r="I14" s="7"/>
      <c r="J14" s="7"/>
    </row>
    <row r="15" spans="1:10" x14ac:dyDescent="0.25">
      <c r="A15" s="21" t="s">
        <v>92</v>
      </c>
      <c r="B15" s="5" t="s">
        <v>93</v>
      </c>
      <c r="C15" s="62">
        <f>largura/d_P</f>
        <v>0.89411764705882357</v>
      </c>
      <c r="D15" s="5" t="s">
        <v>87</v>
      </c>
      <c r="E15" s="5"/>
      <c r="F15" s="16"/>
      <c r="G15" s="4"/>
      <c r="H15" s="12"/>
      <c r="I15" s="12"/>
      <c r="J15" s="12"/>
    </row>
    <row r="16" spans="1:10" ht="41.4" x14ac:dyDescent="0.25">
      <c r="A16" s="21"/>
      <c r="B16" s="6" t="s">
        <v>95</v>
      </c>
      <c r="C16" s="64" t="str">
        <f>montagem</f>
        <v>entre mancais imediatamente adjacentes</v>
      </c>
      <c r="D16" s="5" t="s">
        <v>87</v>
      </c>
      <c r="E16" s="5"/>
      <c r="F16" s="16"/>
      <c r="G16" s="4"/>
      <c r="H16" s="12"/>
      <c r="I16" s="12"/>
      <c r="J16" s="12"/>
    </row>
    <row r="17" spans="1:10" x14ac:dyDescent="0.25">
      <c r="A17" s="21"/>
      <c r="B17" s="5" t="s">
        <v>94</v>
      </c>
      <c r="C17" s="62">
        <v>1000</v>
      </c>
      <c r="D17" s="5" t="s">
        <v>9</v>
      </c>
      <c r="E17" s="5"/>
      <c r="F17" s="16"/>
      <c r="G17" s="4">
        <f>C_pf</f>
        <v>7.0607764705882356E-2</v>
      </c>
      <c r="H17" s="12"/>
      <c r="I17" s="12"/>
      <c r="J17" s="12"/>
    </row>
    <row r="18" spans="1:10" x14ac:dyDescent="0.25">
      <c r="A18" s="21" t="s">
        <v>96</v>
      </c>
      <c r="B18" s="6" t="s">
        <v>97</v>
      </c>
      <c r="C18" s="65">
        <v>1</v>
      </c>
      <c r="D18" s="5" t="s">
        <v>87</v>
      </c>
      <c r="E18" s="5" t="s">
        <v>98</v>
      </c>
      <c r="F18" s="16" t="str">
        <f>coroamento</f>
        <v>sem coroamento</v>
      </c>
      <c r="G18" s="4"/>
      <c r="H18" s="12"/>
      <c r="I18" s="12"/>
      <c r="J18" s="12"/>
    </row>
    <row r="19" spans="1:10" x14ac:dyDescent="0.25">
      <c r="A19" s="21" t="s">
        <v>101</v>
      </c>
      <c r="B19" s="6" t="s">
        <v>99</v>
      </c>
      <c r="C19" s="66">
        <f>largura/(10*d_P)-0.0375+4.92*10^(-4)*largura</f>
        <v>7.0607764705882356E-2</v>
      </c>
      <c r="D19" s="5" t="s">
        <v>87</v>
      </c>
      <c r="E19" s="5" t="s">
        <v>100</v>
      </c>
      <c r="F19" s="16"/>
      <c r="G19" s="4"/>
      <c r="H19" s="12"/>
      <c r="I19" s="12"/>
      <c r="J19" s="12"/>
    </row>
    <row r="20" spans="1:10" x14ac:dyDescent="0.25">
      <c r="A20" s="21" t="s">
        <v>102</v>
      </c>
      <c r="B20" s="6" t="s">
        <v>103</v>
      </c>
      <c r="C20" s="65">
        <v>1</v>
      </c>
      <c r="D20" s="5" t="s">
        <v>87</v>
      </c>
      <c r="E20" s="5" t="s">
        <v>104</v>
      </c>
      <c r="F20" s="16" t="s">
        <v>105</v>
      </c>
      <c r="G20" s="15" t="str">
        <f>montagem</f>
        <v>entre mancais imediatamente adjacentes</v>
      </c>
      <c r="H20" s="12"/>
      <c r="I20" s="12"/>
      <c r="J20" s="12"/>
    </row>
    <row r="21" spans="1:10" ht="27.6" x14ac:dyDescent="0.25">
      <c r="A21" s="21" t="s">
        <v>106</v>
      </c>
      <c r="B21" s="6" t="s">
        <v>107</v>
      </c>
      <c r="C21" s="66">
        <f>fat_A+fat_B*largura/25.4+fat_C*(largura/25.4)^2</f>
        <v>0.15042964225928454</v>
      </c>
      <c r="D21" s="5" t="s">
        <v>87</v>
      </c>
      <c r="E21" s="5" t="s">
        <v>108</v>
      </c>
      <c r="F21" s="16" t="str">
        <f>aplicacao</f>
        <v>unidade redutora de engrenagem comercial</v>
      </c>
      <c r="G21" s="13" t="s">
        <v>86</v>
      </c>
      <c r="H21" s="15">
        <v>0.127</v>
      </c>
      <c r="I21" s="15" t="s">
        <v>110</v>
      </c>
      <c r="J21" s="12"/>
    </row>
    <row r="22" spans="1:10" x14ac:dyDescent="0.25">
      <c r="A22" s="21"/>
      <c r="B22" s="6"/>
      <c r="C22" s="67"/>
      <c r="D22" s="5"/>
      <c r="E22" s="5"/>
      <c r="F22" s="16"/>
      <c r="G22" s="13" t="s">
        <v>85</v>
      </c>
      <c r="H22" s="15">
        <v>1.5800000000000002E-2</v>
      </c>
      <c r="I22" s="12"/>
      <c r="J22" s="12"/>
    </row>
    <row r="23" spans="1:10" x14ac:dyDescent="0.25">
      <c r="A23" s="21"/>
      <c r="B23" s="6"/>
      <c r="C23" s="62"/>
      <c r="D23" s="5"/>
      <c r="E23" s="5"/>
      <c r="F23" s="16"/>
      <c r="G23" s="13" t="s">
        <v>109</v>
      </c>
      <c r="H23" s="52">
        <f>-0.93*10^(-4)</f>
        <v>-9.3000000000000011E-5</v>
      </c>
      <c r="I23" s="12"/>
      <c r="J23" s="12"/>
    </row>
    <row r="24" spans="1:10" x14ac:dyDescent="0.25">
      <c r="A24" s="22" t="s">
        <v>111</v>
      </c>
      <c r="B24" s="68" t="s">
        <v>112</v>
      </c>
      <c r="C24" s="69">
        <v>1</v>
      </c>
      <c r="D24" s="55" t="s">
        <v>87</v>
      </c>
      <c r="E24" s="55" t="s">
        <v>113</v>
      </c>
      <c r="F24" s="20" t="str">
        <f>ajuste</f>
        <v>sem ajuste</v>
      </c>
      <c r="G24" s="10"/>
      <c r="H24" s="9"/>
      <c r="I24" s="9"/>
      <c r="J24" s="9"/>
    </row>
    <row r="25" spans="1:10" x14ac:dyDescent="0.25">
      <c r="A25" s="18" t="s">
        <v>53</v>
      </c>
      <c r="B25" s="5" t="s">
        <v>60</v>
      </c>
      <c r="C25" s="5">
        <v>1</v>
      </c>
      <c r="D25" s="5" t="s">
        <v>87</v>
      </c>
      <c r="E25" s="5" t="s">
        <v>70</v>
      </c>
    </row>
    <row r="26" spans="1:10" x14ac:dyDescent="0.25">
      <c r="A26" s="27" t="s">
        <v>116</v>
      </c>
      <c r="B26" s="5" t="s">
        <v>117</v>
      </c>
      <c r="C26" s="5" t="s">
        <v>119</v>
      </c>
      <c r="D26" s="5"/>
      <c r="E26" s="5"/>
      <c r="F26" s="21" t="s">
        <v>118</v>
      </c>
      <c r="G26" s="4" t="str">
        <f>corpo_G</f>
        <v>sem aro</v>
      </c>
    </row>
    <row r="27" spans="1:10" ht="27.6" x14ac:dyDescent="0.25">
      <c r="A27" s="19" t="s">
        <v>120</v>
      </c>
      <c r="B27" s="56" t="s">
        <v>155</v>
      </c>
      <c r="C27" s="56">
        <v>0.29499999999999998</v>
      </c>
      <c r="D27" s="56" t="s">
        <v>87</v>
      </c>
      <c r="E27" s="56" t="s">
        <v>71</v>
      </c>
      <c r="F27" s="28" t="s">
        <v>0</v>
      </c>
      <c r="G27" s="8">
        <f>N_P</f>
        <v>17</v>
      </c>
      <c r="H27" s="7"/>
      <c r="I27" s="7"/>
      <c r="J27" s="7"/>
    </row>
    <row r="28" spans="1:10" ht="27.6" x14ac:dyDescent="0.25">
      <c r="A28" s="16" t="s">
        <v>121</v>
      </c>
      <c r="B28" s="5" t="s">
        <v>156</v>
      </c>
      <c r="C28" s="5">
        <v>0.39</v>
      </c>
      <c r="D28" s="5" t="s">
        <v>87</v>
      </c>
      <c r="E28" s="5"/>
      <c r="F28" s="16" t="s">
        <v>7</v>
      </c>
      <c r="G28" s="4">
        <f>N_G</f>
        <v>52</v>
      </c>
      <c r="H28" s="12"/>
      <c r="I28" s="12"/>
      <c r="J28" s="12"/>
    </row>
    <row r="29" spans="1:10" x14ac:dyDescent="0.25">
      <c r="A29" s="16" t="s">
        <v>54</v>
      </c>
      <c r="B29" s="5" t="s">
        <v>22</v>
      </c>
      <c r="C29" s="5">
        <f>m_t</f>
        <v>2.5</v>
      </c>
      <c r="D29" s="5" t="s">
        <v>9</v>
      </c>
      <c r="E29" s="5"/>
      <c r="F29" s="16"/>
      <c r="G29" s="4"/>
      <c r="H29" s="12"/>
      <c r="I29" s="12"/>
      <c r="J29" s="12"/>
    </row>
    <row r="30" spans="1:10" x14ac:dyDescent="0.25">
      <c r="A30" s="76" t="s">
        <v>157</v>
      </c>
      <c r="B30" s="77" t="s">
        <v>152</v>
      </c>
      <c r="C30" s="78">
        <f>W_t*K_o*K_v*K_s*K_H*K_B/(largura*m_t*Y_J_P)</f>
        <v>44.938626096441489</v>
      </c>
      <c r="D30" s="77" t="s">
        <v>14</v>
      </c>
      <c r="E30" s="53" t="s">
        <v>67</v>
      </c>
      <c r="F30" s="24"/>
      <c r="G30" s="25"/>
      <c r="H30" s="26"/>
      <c r="I30" s="26"/>
      <c r="J30" s="26"/>
    </row>
    <row r="31" spans="1:10" x14ac:dyDescent="0.25">
      <c r="A31" s="76"/>
      <c r="B31" s="77" t="s">
        <v>158</v>
      </c>
      <c r="C31" s="78">
        <f>W_t*K_o*K_v*K_s*K_H*K_B/(largura*m_t*Y_J_G)</f>
        <v>33.992037688333944</v>
      </c>
      <c r="D31" s="77" t="s">
        <v>14</v>
      </c>
      <c r="E31" s="53" t="s">
        <v>67</v>
      </c>
      <c r="F31" s="24"/>
      <c r="G31" s="25"/>
      <c r="H31" s="26"/>
      <c r="I31" s="26"/>
      <c r="J31" s="26"/>
    </row>
  </sheetData>
  <mergeCells count="1">
    <mergeCell ref="A1:J1"/>
  </mergeCells>
  <conditionalFormatting sqref="C11">
    <cfRule type="cellIs" dxfId="1" priority="3" operator="lessThanOrEqual">
      <formula>$C$5</formula>
    </cfRule>
  </conditionalFormatting>
  <conditionalFormatting sqref="C15">
    <cfRule type="cellIs" dxfId="0" priority="2" operator="greaterThanOrEqual">
      <formula>2</formula>
    </cfRule>
  </conditionalFormatting>
  <conditionalFormatting sqref="C13">
    <cfRule type="cellIs" priority="1" operator="greaterThanOrEqual">
      <formula>"b_max"</formula>
    </cfRule>
  </conditionalFormatting>
  <pageMargins left="0.511811024" right="0.511811024" top="0.78740157499999996" bottom="0.78740157499999996" header="0.31496062000000002" footer="0.31496062000000002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="90" zoomScaleNormal="90" workbookViewId="0">
      <selection sqref="A1:G13"/>
    </sheetView>
  </sheetViews>
  <sheetFormatPr defaultRowHeight="13.8" x14ac:dyDescent="0.25"/>
  <cols>
    <col min="1" max="1" width="30.69921875" style="38" customWidth="1"/>
    <col min="2" max="2" width="15.09765625" style="2" bestFit="1" customWidth="1"/>
    <col min="3" max="5" width="12.69921875" style="2" customWidth="1"/>
    <col min="6" max="6" width="20.69921875" style="1" customWidth="1"/>
    <col min="7" max="7" width="12.69921875" style="37" customWidth="1"/>
  </cols>
  <sheetData>
    <row r="1" spans="1:7" ht="19.95" customHeight="1" x14ac:dyDescent="0.25">
      <c r="A1" s="33" t="s">
        <v>126</v>
      </c>
      <c r="B1" s="33"/>
      <c r="C1" s="33"/>
      <c r="D1" s="33"/>
      <c r="E1" s="33"/>
      <c r="F1" s="33"/>
      <c r="G1" s="33"/>
    </row>
    <row r="2" spans="1:7" x14ac:dyDescent="0.25">
      <c r="A2" s="30" t="s">
        <v>62</v>
      </c>
      <c r="B2" s="53" t="s">
        <v>63</v>
      </c>
      <c r="C2" s="53" t="s">
        <v>65</v>
      </c>
      <c r="D2" s="53" t="s">
        <v>64</v>
      </c>
      <c r="E2" s="53" t="s">
        <v>66</v>
      </c>
      <c r="F2" s="30" t="s">
        <v>82</v>
      </c>
      <c r="G2" s="36"/>
    </row>
    <row r="3" spans="1:7" x14ac:dyDescent="0.25">
      <c r="A3" s="38" t="s">
        <v>127</v>
      </c>
      <c r="B3" s="5" t="s">
        <v>136</v>
      </c>
      <c r="C3" s="5">
        <f>0.533*HB_P+88.3</f>
        <v>216.22</v>
      </c>
      <c r="D3" s="5" t="s">
        <v>14</v>
      </c>
      <c r="E3" s="5" t="s">
        <v>133</v>
      </c>
      <c r="F3" s="35" t="s">
        <v>134</v>
      </c>
      <c r="G3" s="37" t="str">
        <f>mat_pinhao</f>
        <v>aço Grau 1</v>
      </c>
    </row>
    <row r="4" spans="1:7" x14ac:dyDescent="0.25">
      <c r="B4" s="5"/>
      <c r="C4" s="5"/>
      <c r="D4" s="5"/>
      <c r="E4" s="5"/>
      <c r="F4" s="35" t="s">
        <v>135</v>
      </c>
      <c r="G4" s="37">
        <f>HB_P</f>
        <v>240</v>
      </c>
    </row>
    <row r="5" spans="1:7" x14ac:dyDescent="0.25">
      <c r="A5" s="39"/>
      <c r="B5" s="5" t="s">
        <v>137</v>
      </c>
      <c r="C5" s="5">
        <f>0.533*HB_G+88.3</f>
        <v>194.9</v>
      </c>
      <c r="D5" s="5" t="s">
        <v>14</v>
      </c>
      <c r="E5" s="5"/>
      <c r="F5" s="13" t="s">
        <v>138</v>
      </c>
      <c r="G5" s="15" t="str">
        <f>mat_pinhao</f>
        <v>aço Grau 1</v>
      </c>
    </row>
    <row r="6" spans="1:7" x14ac:dyDescent="0.25">
      <c r="A6" s="40"/>
      <c r="B6" s="55"/>
      <c r="C6" s="55"/>
      <c r="D6" s="55"/>
      <c r="E6" s="55"/>
      <c r="F6" s="41" t="s">
        <v>139</v>
      </c>
      <c r="G6" s="42">
        <f>HB_G</f>
        <v>200</v>
      </c>
    </row>
    <row r="7" spans="1:7" x14ac:dyDescent="0.25">
      <c r="A7" s="38" t="s">
        <v>128</v>
      </c>
      <c r="B7" s="5" t="s">
        <v>143</v>
      </c>
      <c r="C7" s="59">
        <f>1.3558*NC_P^(-0.0178)</f>
        <v>0.97677746055904235</v>
      </c>
      <c r="D7" s="5" t="s">
        <v>87</v>
      </c>
      <c r="E7" s="5" t="s">
        <v>147</v>
      </c>
      <c r="F7" s="13" t="s">
        <v>140</v>
      </c>
      <c r="G7" s="15" t="str">
        <f>curva_NC</f>
        <v>superior</v>
      </c>
    </row>
    <row r="8" spans="1:7" x14ac:dyDescent="0.25">
      <c r="A8" s="46" t="s">
        <v>145</v>
      </c>
      <c r="B8" s="5" t="s">
        <v>146</v>
      </c>
      <c r="C8" s="60">
        <f>NC_P*N_P/N_G</f>
        <v>32692307.692307692</v>
      </c>
      <c r="D8" s="5" t="s">
        <v>87</v>
      </c>
      <c r="E8" s="5"/>
      <c r="F8" s="13"/>
      <c r="G8" s="15"/>
    </row>
    <row r="9" spans="1:7" x14ac:dyDescent="0.25">
      <c r="A9" s="40"/>
      <c r="B9" s="55" t="s">
        <v>144</v>
      </c>
      <c r="C9" s="61">
        <f>1.3558*NC_G^(-0.0178)</f>
        <v>0.99641096547525509</v>
      </c>
      <c r="D9" s="55" t="s">
        <v>87</v>
      </c>
      <c r="E9" s="55"/>
      <c r="F9" s="41" t="s">
        <v>140</v>
      </c>
      <c r="G9" s="42" t="str">
        <f>curva_NC</f>
        <v>superior</v>
      </c>
    </row>
    <row r="10" spans="1:7" x14ac:dyDescent="0.25">
      <c r="A10" s="30" t="s">
        <v>129</v>
      </c>
      <c r="B10" s="53" t="s">
        <v>131</v>
      </c>
      <c r="C10" s="53">
        <v>1</v>
      </c>
      <c r="D10" s="53" t="s">
        <v>87</v>
      </c>
      <c r="E10" s="53"/>
      <c r="F10" s="34" t="s">
        <v>148</v>
      </c>
      <c r="G10" s="36"/>
    </row>
    <row r="11" spans="1:7" x14ac:dyDescent="0.25">
      <c r="A11" s="30" t="s">
        <v>130</v>
      </c>
      <c r="B11" s="53" t="s">
        <v>132</v>
      </c>
      <c r="C11" s="53">
        <v>0.85</v>
      </c>
      <c r="D11" s="53" t="s">
        <v>87</v>
      </c>
      <c r="E11" s="53" t="s">
        <v>149</v>
      </c>
      <c r="F11" s="43" t="s">
        <v>150</v>
      </c>
      <c r="G11" s="25">
        <f>conf</f>
        <v>0.9</v>
      </c>
    </row>
    <row r="12" spans="1:7" x14ac:dyDescent="0.25">
      <c r="A12" s="70" t="s">
        <v>151</v>
      </c>
      <c r="B12" s="72" t="s">
        <v>153</v>
      </c>
      <c r="C12" s="71">
        <f>S_t_P*Y_N_P/(Y_TETA*Y_Z)</f>
        <v>248.46920296714842</v>
      </c>
      <c r="D12" s="72" t="s">
        <v>14</v>
      </c>
      <c r="E12" s="5" t="s">
        <v>154</v>
      </c>
    </row>
    <row r="13" spans="1:7" x14ac:dyDescent="0.25">
      <c r="A13" s="73"/>
      <c r="B13" s="75" t="s">
        <v>159</v>
      </c>
      <c r="C13" s="74">
        <f>S_t_G*Y_N_G/(Y_TETA*Y_Z)</f>
        <v>228.47117314250261</v>
      </c>
      <c r="D13" s="75" t="s">
        <v>14</v>
      </c>
      <c r="E13" s="55"/>
      <c r="F13" s="44"/>
      <c r="G13" s="42"/>
    </row>
  </sheetData>
  <mergeCells count="1">
    <mergeCell ref="A1:G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="90" zoomScaleNormal="90" workbookViewId="0">
      <selection sqref="A1:J15"/>
    </sheetView>
  </sheetViews>
  <sheetFormatPr defaultRowHeight="13.8" x14ac:dyDescent="0.25"/>
  <cols>
    <col min="1" max="1" width="32.3984375" style="38" customWidth="1"/>
    <col min="2" max="4" width="10.69921875" style="2" customWidth="1"/>
    <col min="5" max="5" width="12.69921875" style="2" customWidth="1"/>
    <col min="6" max="6" width="26.09765625" style="1" bestFit="1" customWidth="1"/>
    <col min="7" max="7" width="12.69921875" style="2" customWidth="1"/>
  </cols>
  <sheetData>
    <row r="1" spans="1:10" ht="19.95" customHeight="1" x14ac:dyDescent="0.25">
      <c r="A1" s="33" t="s">
        <v>160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x14ac:dyDescent="0.25">
      <c r="A2" s="30" t="s">
        <v>62</v>
      </c>
      <c r="B2" s="53" t="s">
        <v>63</v>
      </c>
      <c r="C2" s="53" t="s">
        <v>65</v>
      </c>
      <c r="D2" s="53" t="s">
        <v>64</v>
      </c>
      <c r="E2" s="53" t="s">
        <v>66</v>
      </c>
      <c r="F2" s="30" t="s">
        <v>82</v>
      </c>
      <c r="G2" s="25"/>
      <c r="H2" s="26"/>
      <c r="I2" s="26"/>
      <c r="J2" s="26"/>
    </row>
    <row r="3" spans="1:10" x14ac:dyDescent="0.25">
      <c r="A3" s="38" t="s">
        <v>161</v>
      </c>
      <c r="B3" s="5" t="s">
        <v>162</v>
      </c>
      <c r="C3" s="54">
        <f>SQRT(1/(PI()*((1-nu_P^2)/(E_P*10^3)+(1-nu_G^2)/(E_G*10^3))))</f>
        <v>190.27185068963752</v>
      </c>
      <c r="D3" s="5" t="s">
        <v>167</v>
      </c>
      <c r="E3" s="5" t="s">
        <v>168</v>
      </c>
      <c r="F3" s="35" t="s">
        <v>169</v>
      </c>
      <c r="G3" s="2" t="s">
        <v>33</v>
      </c>
      <c r="H3">
        <f>nu_P</f>
        <v>0.3</v>
      </c>
    </row>
    <row r="4" spans="1:10" x14ac:dyDescent="0.25">
      <c r="B4" s="5"/>
      <c r="C4" s="5"/>
      <c r="D4" s="5"/>
      <c r="E4" s="5"/>
      <c r="F4" s="35"/>
      <c r="G4" s="2" t="s">
        <v>36</v>
      </c>
      <c r="H4">
        <f>nu_G</f>
        <v>0.3</v>
      </c>
    </row>
    <row r="5" spans="1:10" x14ac:dyDescent="0.25">
      <c r="A5" s="39"/>
      <c r="B5" s="5"/>
      <c r="C5" s="5"/>
      <c r="D5" s="5"/>
      <c r="E5" s="5"/>
      <c r="F5" s="13" t="s">
        <v>170</v>
      </c>
      <c r="G5" s="4" t="s">
        <v>34</v>
      </c>
      <c r="H5" s="12">
        <f>E_P*10^3</f>
        <v>207000</v>
      </c>
      <c r="I5" s="12" t="s">
        <v>14</v>
      </c>
      <c r="J5" s="12"/>
    </row>
    <row r="6" spans="1:10" x14ac:dyDescent="0.25">
      <c r="A6" s="40"/>
      <c r="B6" s="55"/>
      <c r="C6" s="55"/>
      <c r="D6" s="55"/>
      <c r="E6" s="55"/>
      <c r="F6" s="41"/>
      <c r="G6" s="10" t="s">
        <v>37</v>
      </c>
      <c r="H6" s="9">
        <f>E_G*10^3</f>
        <v>207000</v>
      </c>
      <c r="I6" s="9" t="s">
        <v>14</v>
      </c>
      <c r="J6" s="9"/>
    </row>
    <row r="7" spans="1:10" x14ac:dyDescent="0.25">
      <c r="A7" s="38" t="s">
        <v>163</v>
      </c>
      <c r="B7" s="5" t="s">
        <v>164</v>
      </c>
      <c r="C7" s="5">
        <v>1</v>
      </c>
      <c r="D7" s="5" t="s">
        <v>87</v>
      </c>
      <c r="E7" s="5" t="s">
        <v>87</v>
      </c>
      <c r="F7" s="13" t="s">
        <v>171</v>
      </c>
      <c r="G7" s="15" t="str">
        <f>aplicacao</f>
        <v>unidade redutora de engrenagem comercial</v>
      </c>
    </row>
    <row r="8" spans="1:10" x14ac:dyDescent="0.25">
      <c r="A8" s="50" t="s">
        <v>165</v>
      </c>
      <c r="B8" s="56" t="s">
        <v>166</v>
      </c>
      <c r="C8" s="57">
        <f>COS(fi_t*PI()/180)*SIN(fi_t*PI()/180)/(2*m_N)*m_G/(m_G+1)</f>
        <v>0.1211049119699277</v>
      </c>
      <c r="D8" s="56"/>
      <c r="E8" s="56"/>
      <c r="F8" s="51" t="s">
        <v>172</v>
      </c>
      <c r="G8" s="8" t="s">
        <v>173</v>
      </c>
      <c r="H8" s="7">
        <f>fi_t</f>
        <v>20</v>
      </c>
      <c r="I8" s="7" t="s">
        <v>2</v>
      </c>
      <c r="J8" s="7"/>
    </row>
    <row r="9" spans="1:10" x14ac:dyDescent="0.25">
      <c r="A9" s="39"/>
      <c r="B9" s="5"/>
      <c r="C9" s="54"/>
      <c r="D9" s="5"/>
      <c r="E9" s="5"/>
      <c r="F9" s="13" t="s">
        <v>184</v>
      </c>
      <c r="G9" s="4" t="str">
        <f>engrenamento</f>
        <v>externo</v>
      </c>
      <c r="H9" s="12"/>
      <c r="I9" s="12"/>
      <c r="J9" s="12"/>
    </row>
    <row r="10" spans="1:10" x14ac:dyDescent="0.25">
      <c r="A10" s="21" t="s">
        <v>174</v>
      </c>
      <c r="B10" s="5" t="s">
        <v>175</v>
      </c>
      <c r="C10" s="54">
        <f>N_G/N_P</f>
        <v>3.0588235294117645</v>
      </c>
      <c r="D10" s="5" t="s">
        <v>87</v>
      </c>
      <c r="E10" s="5" t="s">
        <v>176</v>
      </c>
      <c r="F10" s="13" t="s">
        <v>177</v>
      </c>
      <c r="G10" s="4" t="s">
        <v>17</v>
      </c>
      <c r="H10" s="12">
        <f>N_G</f>
        <v>52</v>
      </c>
      <c r="I10" s="12"/>
      <c r="J10" s="12"/>
    </row>
    <row r="11" spans="1:10" x14ac:dyDescent="0.25">
      <c r="A11" s="21"/>
      <c r="B11" s="5"/>
      <c r="C11" s="5"/>
      <c r="D11" s="5"/>
      <c r="E11" s="5"/>
      <c r="F11" s="13"/>
      <c r="G11" s="4" t="s">
        <v>15</v>
      </c>
      <c r="H11" s="12">
        <f>N_P</f>
        <v>17</v>
      </c>
      <c r="I11" s="12"/>
      <c r="J11" s="12"/>
    </row>
    <row r="12" spans="1:10" x14ac:dyDescent="0.25">
      <c r="A12" s="21" t="s">
        <v>178</v>
      </c>
      <c r="B12" s="5" t="s">
        <v>179</v>
      </c>
      <c r="C12" s="5">
        <v>1</v>
      </c>
      <c r="D12" s="5"/>
      <c r="E12" s="5"/>
      <c r="F12" s="13" t="s">
        <v>180</v>
      </c>
      <c r="G12" s="4" t="str">
        <f>dentes</f>
        <v>dentes retos</v>
      </c>
      <c r="H12" s="12"/>
      <c r="I12" s="12"/>
      <c r="J12" s="12"/>
    </row>
    <row r="13" spans="1:10" x14ac:dyDescent="0.25">
      <c r="A13" s="22"/>
      <c r="B13" s="55"/>
      <c r="C13" s="55"/>
      <c r="D13" s="55"/>
      <c r="E13" s="55"/>
      <c r="F13" s="41" t="s">
        <v>184</v>
      </c>
      <c r="G13" s="10" t="str">
        <f>engrenamento</f>
        <v>externo</v>
      </c>
      <c r="H13" s="9"/>
      <c r="I13" s="9"/>
      <c r="J13" s="9"/>
    </row>
    <row r="14" spans="1:10" x14ac:dyDescent="0.25">
      <c r="A14" s="70" t="s">
        <v>185</v>
      </c>
      <c r="B14" s="71" t="s">
        <v>186</v>
      </c>
      <c r="C14" s="71">
        <f>Z_E*SQRT(W_t*K_o*K_v*K_s*K_H*Z_R/(d_P*largura*Z_I))</f>
        <v>482.82539654559037</v>
      </c>
      <c r="D14" s="72" t="s">
        <v>14</v>
      </c>
      <c r="E14" s="5" t="s">
        <v>187</v>
      </c>
    </row>
    <row r="15" spans="1:10" x14ac:dyDescent="0.25">
      <c r="A15" s="73"/>
      <c r="B15" s="74" t="s">
        <v>188</v>
      </c>
      <c r="C15" s="74">
        <f>Z_E*SQRT(W_t*K_o*K_v*K_s*K_H*Z_R/(d_G*largura*Z_I))</f>
        <v>276.06598223069477</v>
      </c>
      <c r="D15" s="75" t="s">
        <v>14</v>
      </c>
      <c r="E15" s="55"/>
      <c r="F15" s="44"/>
      <c r="G15" s="10"/>
      <c r="H15" s="9"/>
      <c r="I15" s="9"/>
      <c r="J15" s="9"/>
    </row>
  </sheetData>
  <mergeCells count="1">
    <mergeCell ref="A1:J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90" zoomScaleNormal="90" workbookViewId="0">
      <selection sqref="A1:H13"/>
    </sheetView>
  </sheetViews>
  <sheetFormatPr defaultRowHeight="13.8" x14ac:dyDescent="0.25"/>
  <cols>
    <col min="1" max="1" width="30.69921875" customWidth="1"/>
    <col min="2" max="2" width="14.5" style="31" bestFit="1" customWidth="1"/>
    <col min="3" max="5" width="10.69921875" style="31" customWidth="1"/>
    <col min="6" max="6" width="20.69921875" customWidth="1"/>
    <col min="7" max="7" width="11" style="1" bestFit="1" customWidth="1"/>
    <col min="8" max="8" width="8.796875" style="1"/>
  </cols>
  <sheetData>
    <row r="1" spans="1:8" x14ac:dyDescent="0.25">
      <c r="A1" s="33" t="s">
        <v>189</v>
      </c>
      <c r="B1" s="33"/>
      <c r="C1" s="33"/>
      <c r="D1" s="33"/>
      <c r="E1" s="33"/>
      <c r="F1" s="33"/>
      <c r="G1" s="33"/>
      <c r="H1" s="33"/>
    </row>
    <row r="2" spans="1:8" x14ac:dyDescent="0.25">
      <c r="A2" s="30" t="s">
        <v>62</v>
      </c>
      <c r="B2" s="53" t="s">
        <v>63</v>
      </c>
      <c r="C2" s="53" t="s">
        <v>65</v>
      </c>
      <c r="D2" s="53" t="s">
        <v>64</v>
      </c>
      <c r="E2" s="53" t="s">
        <v>66</v>
      </c>
      <c r="F2" s="30" t="s">
        <v>82</v>
      </c>
      <c r="G2" s="36"/>
      <c r="H2" s="34"/>
    </row>
    <row r="3" spans="1:8" x14ac:dyDescent="0.25">
      <c r="A3" t="s">
        <v>190</v>
      </c>
      <c r="B3" s="31" t="s">
        <v>193</v>
      </c>
      <c r="C3" s="31">
        <f>2.22*HB_P+200</f>
        <v>732.80000000000007</v>
      </c>
      <c r="D3" s="31" t="s">
        <v>14</v>
      </c>
      <c r="E3" s="31" t="s">
        <v>194</v>
      </c>
      <c r="F3" s="35" t="s">
        <v>134</v>
      </c>
      <c r="G3" s="37" t="str">
        <f>mat_pinhao</f>
        <v>aço Grau 1</v>
      </c>
    </row>
    <row r="4" spans="1:8" x14ac:dyDescent="0.25">
      <c r="F4" s="35" t="s">
        <v>135</v>
      </c>
      <c r="G4" s="37">
        <f>HB_P</f>
        <v>240</v>
      </c>
    </row>
    <row r="5" spans="1:8" x14ac:dyDescent="0.25">
      <c r="B5" s="31" t="s">
        <v>195</v>
      </c>
      <c r="C5" s="81">
        <f>2.22*HB_G+200</f>
        <v>644</v>
      </c>
      <c r="D5" s="31" t="s">
        <v>14</v>
      </c>
      <c r="F5" s="13" t="s">
        <v>138</v>
      </c>
      <c r="G5" s="15" t="str">
        <f>mat_pinhao</f>
        <v>aço Grau 1</v>
      </c>
    </row>
    <row r="6" spans="1:8" x14ac:dyDescent="0.25">
      <c r="A6" s="9"/>
      <c r="B6" s="82"/>
      <c r="C6" s="82"/>
      <c r="D6" s="82"/>
      <c r="E6" s="82"/>
      <c r="F6" s="41" t="s">
        <v>139</v>
      </c>
      <c r="G6" s="42">
        <f>HB_G</f>
        <v>200</v>
      </c>
      <c r="H6" s="44"/>
    </row>
    <row r="7" spans="1:8" x14ac:dyDescent="0.25">
      <c r="A7" t="s">
        <v>191</v>
      </c>
      <c r="B7" s="31" t="s">
        <v>196</v>
      </c>
      <c r="C7" s="80">
        <f>1.4488*NC_P^-0.023</f>
        <v>0.94843688898866818</v>
      </c>
      <c r="D7" s="31" t="s">
        <v>87</v>
      </c>
      <c r="E7" s="31" t="s">
        <v>197</v>
      </c>
      <c r="F7" s="13" t="s">
        <v>140</v>
      </c>
      <c r="G7" s="15" t="str">
        <f>curva_NC</f>
        <v>superior</v>
      </c>
    </row>
    <row r="8" spans="1:8" x14ac:dyDescent="0.25">
      <c r="A8" s="9"/>
      <c r="B8" s="82" t="s">
        <v>198</v>
      </c>
      <c r="C8" s="84">
        <f>1.4488*NC_G^-0.023</f>
        <v>0.97314193785913616</v>
      </c>
      <c r="D8" s="82" t="s">
        <v>87</v>
      </c>
      <c r="E8" s="82"/>
      <c r="F8" s="41" t="s">
        <v>140</v>
      </c>
      <c r="G8" s="42" t="str">
        <f>curva_NC</f>
        <v>superior</v>
      </c>
      <c r="H8" s="44"/>
    </row>
    <row r="9" spans="1:8" x14ac:dyDescent="0.25">
      <c r="A9" t="s">
        <v>192</v>
      </c>
      <c r="B9" s="31" t="s">
        <v>199</v>
      </c>
      <c r="C9" s="31">
        <v>1</v>
      </c>
      <c r="D9" s="31" t="s">
        <v>87</v>
      </c>
    </row>
    <row r="10" spans="1:8" x14ac:dyDescent="0.25">
      <c r="B10" s="31" t="s">
        <v>203</v>
      </c>
      <c r="C10" s="83">
        <f>8.98*10^-3*(HB_P/HB_G)-8.29*10^-3</f>
        <v>2.4860000000000004E-3</v>
      </c>
      <c r="D10" s="31" t="s">
        <v>87</v>
      </c>
      <c r="F10" s="85" t="s">
        <v>201</v>
      </c>
      <c r="G10" s="1" t="s">
        <v>202</v>
      </c>
      <c r="H10" s="2">
        <f>HB_P/HB_G</f>
        <v>1.2</v>
      </c>
    </row>
    <row r="11" spans="1:8" x14ac:dyDescent="0.25">
      <c r="A11" s="9"/>
      <c r="B11" s="82" t="s">
        <v>200</v>
      </c>
      <c r="C11" s="84">
        <f>1+AL*(m_G-1)</f>
        <v>1.0051182352941177</v>
      </c>
      <c r="D11" s="82" t="s">
        <v>87</v>
      </c>
      <c r="E11" s="82" t="s">
        <v>204</v>
      </c>
      <c r="F11" s="9"/>
      <c r="G11" s="44"/>
      <c r="H11" s="44"/>
    </row>
    <row r="12" spans="1:8" x14ac:dyDescent="0.25">
      <c r="A12" s="86" t="s">
        <v>205</v>
      </c>
      <c r="B12" s="87" t="s">
        <v>206</v>
      </c>
      <c r="C12" s="88">
        <f>S_c_P*Z_N_P*Z_W_P/(Y_TETA*Y_Z)</f>
        <v>817.66417911870133</v>
      </c>
      <c r="D12" s="87" t="s">
        <v>14</v>
      </c>
      <c r="E12" s="31" t="s">
        <v>207</v>
      </c>
    </row>
    <row r="13" spans="1:8" x14ac:dyDescent="0.25">
      <c r="A13" s="89"/>
      <c r="B13" s="90" t="s">
        <v>208</v>
      </c>
      <c r="C13" s="91">
        <f>S_c_G*Z_N_G*Z_W_G/(Y_TETA*Y_Z)</f>
        <v>741.07179233289105</v>
      </c>
      <c r="D13" s="90" t="s">
        <v>14</v>
      </c>
      <c r="E13" s="82"/>
      <c r="F13" s="9"/>
      <c r="G13" s="44"/>
      <c r="H13" s="44"/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landscape" horizontalDpi="1200" verticalDpi="1200" r:id="rId1"/>
  <ignoredErrors>
    <ignoredError sqref="G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"/>
  <sheetViews>
    <sheetView tabSelected="1" zoomScaleNormal="100" workbookViewId="0">
      <selection sqref="A1:C8"/>
    </sheetView>
  </sheetViews>
  <sheetFormatPr defaultRowHeight="13.8" x14ac:dyDescent="0.25"/>
  <cols>
    <col min="1" max="1" width="30.69921875" style="18" customWidth="1"/>
    <col min="2" max="2" width="16.09765625" style="18" customWidth="1"/>
    <col min="3" max="3" width="12.69921875" style="18" customWidth="1"/>
  </cols>
  <sheetData>
    <row r="1" spans="1:3" x14ac:dyDescent="0.25">
      <c r="A1" s="32" t="s">
        <v>209</v>
      </c>
      <c r="B1" s="32"/>
      <c r="C1" s="32"/>
    </row>
    <row r="2" spans="1:3" x14ac:dyDescent="0.25">
      <c r="A2" s="30" t="s">
        <v>62</v>
      </c>
      <c r="B2" s="47" t="s">
        <v>63</v>
      </c>
      <c r="C2" s="47" t="s">
        <v>65</v>
      </c>
    </row>
    <row r="3" spans="1:3" x14ac:dyDescent="0.25">
      <c r="A3" s="38" t="s">
        <v>210</v>
      </c>
      <c r="B3" s="3" t="s">
        <v>211</v>
      </c>
      <c r="C3" s="49">
        <f>sigma_f_adm_P/sigma_f_P</f>
        <v>5.5290787580803169</v>
      </c>
    </row>
    <row r="4" spans="1:3" x14ac:dyDescent="0.25">
      <c r="A4" s="38"/>
      <c r="B4" s="3" t="s">
        <v>212</v>
      </c>
      <c r="C4" s="49">
        <f>sigma_f_adm_G/sigma_f_G</f>
        <v>6.7213144218451442</v>
      </c>
    </row>
    <row r="5" spans="1:3" x14ac:dyDescent="0.25">
      <c r="A5" s="40"/>
      <c r="B5" s="17"/>
      <c r="C5" s="17"/>
    </row>
    <row r="6" spans="1:3" x14ac:dyDescent="0.25">
      <c r="A6" s="38" t="s">
        <v>213</v>
      </c>
      <c r="B6" s="3" t="s">
        <v>214</v>
      </c>
      <c r="C6" s="49">
        <f>(sigma_c_adm_P/sigma_c_P)^2</f>
        <v>2.8679378310602401</v>
      </c>
    </row>
    <row r="7" spans="1:3" x14ac:dyDescent="0.25">
      <c r="A7" s="46"/>
      <c r="B7" s="3" t="s">
        <v>215</v>
      </c>
      <c r="C7" s="49">
        <f>(sigma_c_adm_G/sigma_c_G)^2</f>
        <v>7.2060086036917568</v>
      </c>
    </row>
    <row r="8" spans="1:3" x14ac:dyDescent="0.25">
      <c r="A8" s="40"/>
      <c r="B8" s="17"/>
      <c r="C8" s="48"/>
    </row>
  </sheetData>
  <mergeCells count="1">
    <mergeCell ref="A1:C1"/>
  </mergeCells>
  <printOptions horizontalCentere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85</vt:i4>
      </vt:variant>
    </vt:vector>
  </HeadingPairs>
  <TitlesOfParts>
    <vt:vector size="91" baseType="lpstr">
      <vt:lpstr>Dados iniciais</vt:lpstr>
      <vt:lpstr>Tensão de Flexão</vt:lpstr>
      <vt:lpstr>Tensão Admissível de Flexão</vt:lpstr>
      <vt:lpstr>Tensão de Contato</vt:lpstr>
      <vt:lpstr>Tensão Admissível de Contato</vt:lpstr>
      <vt:lpstr>Fatores de Segurança</vt:lpstr>
      <vt:lpstr>ajuste</vt:lpstr>
      <vt:lpstr>AL</vt:lpstr>
      <vt:lpstr>aplicacao</vt:lpstr>
      <vt:lpstr>b_max</vt:lpstr>
      <vt:lpstr>C_e</vt:lpstr>
      <vt:lpstr>C_ma</vt:lpstr>
      <vt:lpstr>C_mc</vt:lpstr>
      <vt:lpstr>C_pf</vt:lpstr>
      <vt:lpstr>C_pf_A</vt:lpstr>
      <vt:lpstr>C_pf_P</vt:lpstr>
      <vt:lpstr>C_pm</vt:lpstr>
      <vt:lpstr>coef_A</vt:lpstr>
      <vt:lpstr>coef_B</vt:lpstr>
      <vt:lpstr>conf</vt:lpstr>
      <vt:lpstr>coroamento</vt:lpstr>
      <vt:lpstr>corpo_G</vt:lpstr>
      <vt:lpstr>corpo_P</vt:lpstr>
      <vt:lpstr>curva_NC</vt:lpstr>
      <vt:lpstr>d_G</vt:lpstr>
      <vt:lpstr>d_P</vt:lpstr>
      <vt:lpstr>dentes</vt:lpstr>
      <vt:lpstr>E_G</vt:lpstr>
      <vt:lpstr>E_P</vt:lpstr>
      <vt:lpstr>endurecimento_G</vt:lpstr>
      <vt:lpstr>endurecimento_P</vt:lpstr>
      <vt:lpstr>engrenamento</vt:lpstr>
      <vt:lpstr>fat_A</vt:lpstr>
      <vt:lpstr>fat_B</vt:lpstr>
      <vt:lpstr>fat_C</vt:lpstr>
      <vt:lpstr>fi_t</vt:lpstr>
      <vt:lpstr>fonte_pot</vt:lpstr>
      <vt:lpstr>H</vt:lpstr>
      <vt:lpstr>HB_G</vt:lpstr>
      <vt:lpstr>HB_P</vt:lpstr>
      <vt:lpstr>K_B</vt:lpstr>
      <vt:lpstr>K_H</vt:lpstr>
      <vt:lpstr>K_o</vt:lpstr>
      <vt:lpstr>K_s</vt:lpstr>
      <vt:lpstr>K_v</vt:lpstr>
      <vt:lpstr>largura</vt:lpstr>
      <vt:lpstr>m_G</vt:lpstr>
      <vt:lpstr>m_N</vt:lpstr>
      <vt:lpstr>m_t</vt:lpstr>
      <vt:lpstr>maq_acionada</vt:lpstr>
      <vt:lpstr>mat_pinhao</vt:lpstr>
      <vt:lpstr>material_G</vt:lpstr>
      <vt:lpstr>material_P</vt:lpstr>
      <vt:lpstr>montagem</vt:lpstr>
      <vt:lpstr>N_G</vt:lpstr>
      <vt:lpstr>N_P</vt:lpstr>
      <vt:lpstr>NC_G</vt:lpstr>
      <vt:lpstr>NC_P</vt:lpstr>
      <vt:lpstr>nu_G</vt:lpstr>
      <vt:lpstr>nu_P</vt:lpstr>
      <vt:lpstr>Q_v</vt:lpstr>
      <vt:lpstr>rot_P</vt:lpstr>
      <vt:lpstr>S_c_G</vt:lpstr>
      <vt:lpstr>S_c_P</vt:lpstr>
      <vt:lpstr>S_t_G</vt:lpstr>
      <vt:lpstr>S_t_P</vt:lpstr>
      <vt:lpstr>S_tP</vt:lpstr>
      <vt:lpstr>sigma_c_adm_G</vt:lpstr>
      <vt:lpstr>sigma_c_adm_P</vt:lpstr>
      <vt:lpstr>sigma_c_G</vt:lpstr>
      <vt:lpstr>sigma_c_P</vt:lpstr>
      <vt:lpstr>sigma_f_adm_G</vt:lpstr>
      <vt:lpstr>sigma_f_adm_P</vt:lpstr>
      <vt:lpstr>sigma_f_G</vt:lpstr>
      <vt:lpstr>sigma_f_P</vt:lpstr>
      <vt:lpstr>V_t</vt:lpstr>
      <vt:lpstr>V_t_max</vt:lpstr>
      <vt:lpstr>W_t</vt:lpstr>
      <vt:lpstr>Y_J_G</vt:lpstr>
      <vt:lpstr>Y_J_P</vt:lpstr>
      <vt:lpstr>Y_N_G</vt:lpstr>
      <vt:lpstr>Y_N_P</vt:lpstr>
      <vt:lpstr>Y_TETA</vt:lpstr>
      <vt:lpstr>Y_Z</vt:lpstr>
      <vt:lpstr>Z_E</vt:lpstr>
      <vt:lpstr>Z_I</vt:lpstr>
      <vt:lpstr>Z_N_G</vt:lpstr>
      <vt:lpstr>Z_N_P</vt:lpstr>
      <vt:lpstr>Z_R</vt:lpstr>
      <vt:lpstr>Z_W_G</vt:lpstr>
      <vt:lpstr>Z_W_P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Luiz Erthal</dc:creator>
  <cp:lastModifiedBy>Jorge Luiz Erthal</cp:lastModifiedBy>
  <cp:lastPrinted>2018-04-05T20:59:54Z</cp:lastPrinted>
  <dcterms:created xsi:type="dcterms:W3CDTF">2018-04-03T03:04:28Z</dcterms:created>
  <dcterms:modified xsi:type="dcterms:W3CDTF">2018-04-05T21:15:25Z</dcterms:modified>
</cp:coreProperties>
</file>