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\projeto mecânico\"/>
    </mc:Choice>
  </mc:AlternateContent>
  <bookViews>
    <workbookView xWindow="480" yWindow="525" windowWidth="15600" windowHeight="11460" activeTab="1"/>
  </bookViews>
  <sheets>
    <sheet name="cálculos" sheetId="1" r:id="rId1"/>
    <sheet name="trocador calor" sheetId="3" r:id="rId2"/>
    <sheet name="tubulação 25" sheetId="5" r:id="rId3"/>
    <sheet name="tubulação 32" sheetId="6" r:id="rId4"/>
  </sheets>
  <calcPr calcId="152511"/>
</workbook>
</file>

<file path=xl/calcChain.xml><?xml version="1.0" encoding="utf-8"?>
<calcChain xmlns="http://schemas.openxmlformats.org/spreadsheetml/2006/main">
  <c r="D42" i="6" l="1"/>
  <c r="D19" i="6" l="1"/>
  <c r="D25" i="6" s="1"/>
  <c r="D27" i="6" s="1"/>
  <c r="D33" i="6" s="1"/>
  <c r="D37" i="6" s="1"/>
  <c r="D19" i="5"/>
  <c r="D25" i="5" s="1"/>
  <c r="D27" i="5" s="1"/>
  <c r="D33" i="5" s="1"/>
  <c r="D37" i="5" s="1"/>
  <c r="D83" i="3" l="1"/>
  <c r="D84" i="3" s="1"/>
  <c r="D75" i="3"/>
  <c r="D46" i="3"/>
  <c r="D45" i="3"/>
  <c r="D61" i="3" s="1"/>
  <c r="F38" i="3"/>
  <c r="D32" i="3"/>
  <c r="D14" i="3"/>
  <c r="D10" i="3"/>
  <c r="D8" i="3"/>
  <c r="D67" i="3" s="1"/>
  <c r="D77" i="3" l="1"/>
  <c r="D16" i="3"/>
  <c r="D18" i="3" s="1"/>
  <c r="D22" i="3" s="1"/>
  <c r="D79" i="3" s="1"/>
  <c r="D24" i="3"/>
  <c r="D34" i="3" s="1"/>
  <c r="D36" i="3" l="1"/>
  <c r="D38" i="3" s="1"/>
  <c r="D40" i="3" s="1"/>
  <c r="D39" i="3" l="1"/>
  <c r="D52" i="3"/>
  <c r="D57" i="3" s="1"/>
  <c r="D59" i="3" s="1"/>
  <c r="D63" i="3" s="1"/>
  <c r="D42" i="3"/>
  <c r="D48" i="3" s="1"/>
  <c r="D50" i="3" s="1"/>
  <c r="G56" i="1" l="1"/>
  <c r="G60" i="1"/>
  <c r="G61" i="1"/>
  <c r="F48" i="1"/>
  <c r="G62" i="1" l="1"/>
  <c r="F64" i="1"/>
  <c r="G64" i="1" s="1"/>
  <c r="F19" i="1" l="1"/>
  <c r="F23" i="1" s="1"/>
  <c r="F24" i="1" s="1"/>
  <c r="F21" i="1" l="1"/>
  <c r="F42" i="1" s="1"/>
  <c r="F50" i="1" l="1"/>
  <c r="F30" i="1"/>
  <c r="F53" i="1" l="1"/>
  <c r="F54" i="1" s="1"/>
  <c r="G54" i="1" s="1"/>
  <c r="F51" i="1"/>
  <c r="F34" i="1"/>
  <c r="F36" i="1" s="1"/>
</calcChain>
</file>

<file path=xl/sharedStrings.xml><?xml version="1.0" encoding="utf-8"?>
<sst xmlns="http://schemas.openxmlformats.org/spreadsheetml/2006/main" count="271" uniqueCount="159">
  <si>
    <t>RECUPERAÇÃO DE ENERGIA DE COMPRESSOR</t>
  </si>
  <si>
    <t>I</t>
  </si>
  <si>
    <t>COMPRESSOR GA-75</t>
  </si>
  <si>
    <t>kW</t>
  </si>
  <si>
    <t>DESCRIÇÃO</t>
  </si>
  <si>
    <t>UNIDADE</t>
  </si>
  <si>
    <t>VALOR</t>
  </si>
  <si>
    <t>OBSERVAÇÕES</t>
  </si>
  <si>
    <t>Fator de utilização</t>
  </si>
  <si>
    <t>%</t>
  </si>
  <si>
    <t>Horas de trabalho por mês</t>
  </si>
  <si>
    <t>h</t>
  </si>
  <si>
    <t>22 dias úteis x 24 h</t>
  </si>
  <si>
    <t xml:space="preserve">Recuperação de calor através do óleo </t>
  </si>
  <si>
    <t>Vai trabalhar sempre, controlado  pelo sequenciador</t>
  </si>
  <si>
    <t>Conforme folheto da Atlas Copco</t>
  </si>
  <si>
    <t>kWh</t>
  </si>
  <si>
    <t>Potência recuperada</t>
  </si>
  <si>
    <t>Fator de carga do motor</t>
  </si>
  <si>
    <t>Quantidade de água evaporada (do lavador de cromo)</t>
  </si>
  <si>
    <t>Calor para evaporar um litro de água</t>
  </si>
  <si>
    <t>kcal</t>
  </si>
  <si>
    <t>Calor de um kWh</t>
  </si>
  <si>
    <t>Evaporação por kWh</t>
  </si>
  <si>
    <t>litros/kWh</t>
  </si>
  <si>
    <t>litros/mês</t>
  </si>
  <si>
    <t>litros/dia</t>
  </si>
  <si>
    <t>Eficiência da recuperação de calor do óleo</t>
  </si>
  <si>
    <t>liros/h</t>
  </si>
  <si>
    <t>kcal/litro</t>
  </si>
  <si>
    <t>kcal/h</t>
  </si>
  <si>
    <t>Eficiência na evaporação</t>
  </si>
  <si>
    <t>Temperatura da água na entrada do compressor</t>
  </si>
  <si>
    <t>Temperatura da água na saida do compressor</t>
  </si>
  <si>
    <t>Diâmetro da tubulação</t>
  </si>
  <si>
    <t>mm</t>
  </si>
  <si>
    <t>Com maior fluxo diminui o delta T, melhorando a transferência de calor</t>
  </si>
  <si>
    <t>Custo do gás natural</t>
  </si>
  <si>
    <t>R$/m3</t>
  </si>
  <si>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>C</t>
    </r>
  </si>
  <si>
    <r>
      <t>kcal/m</t>
    </r>
    <r>
      <rPr>
        <vertAlign val="superscript"/>
        <sz val="10"/>
        <color theme="1"/>
        <rFont val="Arial"/>
        <family val="2"/>
      </rPr>
      <t>3</t>
    </r>
  </si>
  <si>
    <t>R$/mês</t>
  </si>
  <si>
    <t>R$</t>
  </si>
  <si>
    <t>anos</t>
  </si>
  <si>
    <t>US$</t>
  </si>
  <si>
    <t>1 kWh= 860 kcal</t>
  </si>
  <si>
    <t>Energia  recuperado por mês (2 equipamentos)</t>
  </si>
  <si>
    <t>m</t>
  </si>
  <si>
    <t>Aumento da manutenção (anual)</t>
  </si>
  <si>
    <t>Depreciação anual (10 anos)</t>
  </si>
  <si>
    <t>R$/ano</t>
  </si>
  <si>
    <t>Custo de um Recuperador de Energia GA-55-90 da Atlas Copco</t>
  </si>
  <si>
    <r>
      <t xml:space="preserve">Payback </t>
    </r>
    <r>
      <rPr>
        <sz val="12"/>
        <color rgb="FF0000FF"/>
        <rFont val="Arial"/>
        <family val="2"/>
      </rPr>
      <t>(calculado por AR antiga)</t>
    </r>
  </si>
  <si>
    <t>Preço médio liquido em março 2014</t>
  </si>
  <si>
    <r>
      <t xml:space="preserve">Aquecer água até de 40 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C até 60 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C </t>
    </r>
  </si>
  <si>
    <t>Baseado no aquecedor de água Argus GAP -100 que produz 100.000 kcal/h e consome 13,2 m3/h de gás natural</t>
  </si>
  <si>
    <t>Poder calorifico liquido do gás natural</t>
  </si>
  <si>
    <t>Diminuição da manutenção (desligar um aquecedor)</t>
  </si>
  <si>
    <t>Variação da manutenção</t>
  </si>
  <si>
    <t>A planilha do CE calcula isto</t>
  </si>
  <si>
    <t>Energia  recuperado por ano (2 equipamentos)</t>
  </si>
  <si>
    <t>Consumo de gás natural equivalente (economizado) por mês</t>
  </si>
  <si>
    <t>Consumo de gás natural equivalente (economizado) por ano</t>
  </si>
  <si>
    <r>
      <t>m</t>
    </r>
    <r>
      <rPr>
        <b/>
        <vertAlign val="superscript"/>
        <sz val="10"/>
        <color rgb="FF0000FF"/>
        <rFont val="Arial"/>
        <family val="2"/>
      </rPr>
      <t>3</t>
    </r>
    <r>
      <rPr>
        <b/>
        <sz val="10"/>
        <color rgb="FF0000FF"/>
        <rFont val="Arial"/>
        <family val="2"/>
      </rPr>
      <t>/ano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</si>
  <si>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/mês</t>
    </r>
  </si>
  <si>
    <t>Custo  de gás natural equivalente (economizado) por ano</t>
  </si>
  <si>
    <t>Custo  de gás natural equivalente (economizado) por mês</t>
  </si>
  <si>
    <t>RECUPERAÇÃO DE CALOR  DOS COMPRESSORES</t>
  </si>
  <si>
    <t>COMENTÁRIOS</t>
  </si>
  <si>
    <t>Coeficiente de transmissão de calor da mangueira de teflon (k)</t>
  </si>
  <si>
    <r>
      <t>kcal/h/</t>
    </r>
    <r>
      <rPr>
        <vertAlign val="superscript"/>
        <sz val="12"/>
        <color theme="1"/>
        <rFont val="Arial"/>
        <family val="2"/>
      </rPr>
      <t xml:space="preserve"> o</t>
    </r>
    <r>
      <rPr>
        <sz val="12"/>
        <color theme="1"/>
        <rFont val="Arial"/>
        <family val="2"/>
      </rPr>
      <t>C/ m</t>
    </r>
    <r>
      <rPr>
        <vertAlign val="superscript"/>
        <sz val="12"/>
        <color theme="1"/>
        <rFont val="Arial"/>
        <family val="2"/>
      </rPr>
      <t>2</t>
    </r>
  </si>
  <si>
    <t>Área de 1 ml de mangueira de teflon de 3/8"</t>
  </si>
  <si>
    <r>
      <t>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/ml</t>
    </r>
  </si>
  <si>
    <t>Calor recuperado de um compressor</t>
  </si>
  <si>
    <t>Calor recuperado de 2  compressores</t>
  </si>
  <si>
    <t>Temperatura da água de aquecimento  (entrada)</t>
  </si>
  <si>
    <r>
      <rPr>
        <vertAlign val="superscript"/>
        <sz val="12"/>
        <color theme="1"/>
        <rFont val="Arial"/>
        <family val="2"/>
      </rPr>
      <t xml:space="preserve"> o</t>
    </r>
    <r>
      <rPr>
        <sz val="12"/>
        <color theme="1"/>
        <rFont val="Arial"/>
        <family val="2"/>
      </rPr>
      <t>C</t>
    </r>
  </si>
  <si>
    <t>Temperatura da água de aquecimento  (saída)</t>
  </si>
  <si>
    <t>Temperatura da água média no tanque de aquecimento</t>
  </si>
  <si>
    <t>Diferença média da temperatura entre a água de aquecimento e a aquecida</t>
  </si>
  <si>
    <t>Mangueira de teflon de 3/8" (TUBO TEFLON 11,5 X 9,5 MM)</t>
  </si>
  <si>
    <r>
      <t>m</t>
    </r>
    <r>
      <rPr>
        <vertAlign val="superscript"/>
        <sz val="12"/>
        <color theme="1"/>
        <rFont val="Arial"/>
        <family val="2"/>
      </rPr>
      <t>2</t>
    </r>
  </si>
  <si>
    <r>
      <t xml:space="preserve">Q = k*A* </t>
    </r>
    <r>
      <rPr>
        <sz val="14"/>
        <color theme="1"/>
        <rFont val="Calibri"/>
        <family val="2"/>
      </rPr>
      <t>Δ</t>
    </r>
    <r>
      <rPr>
        <sz val="12"/>
        <color theme="1"/>
        <rFont val="Arial"/>
        <family val="2"/>
      </rPr>
      <t>T ;  A = Q/(k* ΔT)</t>
    </r>
  </si>
  <si>
    <t>Mangueira de teflon de 3/8"</t>
  </si>
  <si>
    <t>ml</t>
  </si>
  <si>
    <t>Comprimento das mangueiras de teflon</t>
  </si>
  <si>
    <t>Quantidade de mangueiras</t>
  </si>
  <si>
    <t>pç</t>
  </si>
  <si>
    <t>Área de troca térmica de cada mangueira (50 ml)</t>
  </si>
  <si>
    <t>Calor transferido por mangueira</t>
  </si>
  <si>
    <r>
      <t xml:space="preserve">Q = k*A* </t>
    </r>
    <r>
      <rPr>
        <sz val="14"/>
        <color theme="1"/>
        <rFont val="Calibri"/>
        <family val="2"/>
      </rPr>
      <t>Δ</t>
    </r>
    <r>
      <rPr>
        <sz val="12"/>
        <color theme="1"/>
        <rFont val="Arial"/>
        <family val="2"/>
      </rPr>
      <t xml:space="preserve">T ;  </t>
    </r>
  </si>
  <si>
    <t>Calor transferido por 9 mangueiras</t>
  </si>
  <si>
    <t>Confere</t>
  </si>
  <si>
    <t>Vazão total minima necessária</t>
  </si>
  <si>
    <t>L/h</t>
  </si>
  <si>
    <t xml:space="preserve">Q' = m'*c* ΔT ; m' = Q'/(c*ΔT) = 54.000/(1* (60-40) = </t>
  </si>
  <si>
    <t>L/min</t>
  </si>
  <si>
    <t>Vazão em cada mangueira</t>
  </si>
  <si>
    <t>Diâmetro interno do tubo</t>
  </si>
  <si>
    <t xml:space="preserve">m </t>
  </si>
  <si>
    <t>Área da seção transversal  um tubo</t>
  </si>
  <si>
    <r>
      <t>cm</t>
    </r>
    <r>
      <rPr>
        <vertAlign val="superscript"/>
        <sz val="12"/>
        <color theme="1"/>
        <rFont val="Arial"/>
        <family val="2"/>
      </rPr>
      <t>2</t>
    </r>
  </si>
  <si>
    <t>Velocidade no tubo de teflon</t>
  </si>
  <si>
    <t>cm/min</t>
  </si>
  <si>
    <t xml:space="preserve">Q = A*v ; v = Q/A </t>
  </si>
  <si>
    <t>m/s</t>
  </si>
  <si>
    <t>Excelente velocidade</t>
  </si>
  <si>
    <t>Vazão para uma mangueira</t>
  </si>
  <si>
    <r>
      <t>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/s</t>
    </r>
  </si>
  <si>
    <t>Perda de Carga conforme .Hazen-Williams:</t>
  </si>
  <si>
    <t>(Q/C)</t>
  </si>
  <si>
    <r>
      <t>www.aflon.com.br/imagens/catalogo_tec/tubos_conexoes.pdf</t>
    </r>
    <r>
      <rPr>
        <sz val="10"/>
        <color rgb="FF0000FF"/>
        <rFont val="Arial"/>
        <family val="2"/>
      </rPr>
      <t>‎</t>
    </r>
  </si>
  <si>
    <r>
      <t>(Q/C)</t>
    </r>
    <r>
      <rPr>
        <vertAlign val="superscript"/>
        <sz val="12"/>
        <color theme="1"/>
        <rFont val="Arial"/>
        <family val="2"/>
      </rPr>
      <t>1,85</t>
    </r>
  </si>
  <si>
    <r>
      <t>d</t>
    </r>
    <r>
      <rPr>
        <vertAlign val="superscript"/>
        <sz val="12"/>
        <color theme="1"/>
        <rFont val="Arial"/>
        <family val="2"/>
      </rPr>
      <t>-4,87</t>
    </r>
  </si>
  <si>
    <t>m.c.a</t>
  </si>
  <si>
    <t>Fórmula de .Colebrook. simplificada para água:</t>
  </si>
  <si>
    <t>Comprimento de cada mangueira</t>
  </si>
  <si>
    <r>
      <t xml:space="preserve">Fluxo máximo por cada recuperador ( ΔT = 10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C)</t>
    </r>
  </si>
  <si>
    <t>l/min</t>
  </si>
  <si>
    <r>
      <t xml:space="preserve">Fluxo máximo para 2  recuperadores ( ΔT = 10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C)</t>
    </r>
  </si>
  <si>
    <t>l/h</t>
  </si>
  <si>
    <t>Pressão da bomba</t>
  </si>
  <si>
    <t>Fluxo de água através do compressor (2 compressores)</t>
  </si>
  <si>
    <t>DIMENSIONAMENTO DO TUBO PRINCIPAL</t>
  </si>
  <si>
    <t>Bomba utilizada: Schneider 91 T de 0,5 CV</t>
  </si>
  <si>
    <t>Tubulação utilizada: AMANCO PP-R , verde, Tipo 3 de 25 x 3,5 mm</t>
  </si>
  <si>
    <r>
      <t xml:space="preserve">PN 20 ; Temp. Proj. 70 </t>
    </r>
    <r>
      <rPr>
        <vertAlign val="superscript"/>
        <sz val="12"/>
        <color theme="1"/>
        <rFont val="Arial"/>
        <family val="2"/>
      </rPr>
      <t>o</t>
    </r>
    <r>
      <rPr>
        <sz val="12"/>
        <color theme="1"/>
        <rFont val="Arial"/>
        <family val="2"/>
      </rPr>
      <t>C; Pressão Proj. 0,6 MPa; NB 15813</t>
    </r>
  </si>
  <si>
    <t>CV</t>
  </si>
  <si>
    <t>Bomba em bronze</t>
  </si>
  <si>
    <t>Velocidade do catálogo Tigre</t>
  </si>
  <si>
    <t>Vazão do catálogo Tigre</t>
  </si>
  <si>
    <t>l/s</t>
  </si>
  <si>
    <t>Vazão</t>
  </si>
  <si>
    <t>Perda de pressão do catálogo Tigre</t>
  </si>
  <si>
    <t>Vazão necessária (para transferir o calor)</t>
  </si>
  <si>
    <t>Velocidade p/ vazão de 1.500 l/h</t>
  </si>
  <si>
    <t>mm.c.a./ m</t>
  </si>
  <si>
    <t>Perda de pressão calculada</t>
  </si>
  <si>
    <t>Distância total (aproximada)</t>
  </si>
  <si>
    <t>Comprimento equivalente total (ida e volta) + perdas singulares</t>
  </si>
  <si>
    <t>Perda de pressão na tubulação de PPR</t>
  </si>
  <si>
    <t>Pressão necessária tubo de teflon</t>
  </si>
  <si>
    <t xml:space="preserve">Diâmetro interno </t>
  </si>
  <si>
    <t>Diâmetro interno 25 - 2 x 3,5 = 25 - 7 = 18</t>
  </si>
  <si>
    <t>Tubulação utilizada: 32 x 4,5 = 32 - 9 = 23 mm</t>
  </si>
  <si>
    <t>Pressão total</t>
  </si>
  <si>
    <t>Pressão total necessária</t>
  </si>
  <si>
    <t>Coeficiente:</t>
  </si>
  <si>
    <t>adim.</t>
  </si>
  <si>
    <r>
      <t>Perda de pressão em joelho 90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DE 25 mm</t>
    </r>
  </si>
  <si>
    <r>
      <t>Perda de pressão em joelho 90</t>
    </r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 xml:space="preserve"> de 25 mm com 1,2 m/s</t>
    </r>
  </si>
  <si>
    <t>mm.c.a.</t>
  </si>
  <si>
    <t>Custo total para 2 compressores mais instalação (2 unidades)</t>
  </si>
  <si>
    <t>Muito alto! Trocar a tubulação por 32 mm</t>
  </si>
  <si>
    <t>Corresponde à pressão fornecida pela bomba na vazão requerida</t>
  </si>
  <si>
    <t>H = Perda de Carga (calculada)</t>
  </si>
  <si>
    <t>Velocidade da água no tubo de 25 mm</t>
  </si>
  <si>
    <t>Vazão da bomba Schneider 91 T de 0,5 CV</t>
  </si>
  <si>
    <t>DIMENSIONAMENTO DO TROCADOR DE CALOR COM TUBOS DE TEFLON DE 3/8"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</si>
</sst>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0.000"/>
    <numFmt numFmtId="168" formatCode="_-* #,##0_-;\-* #,##0_-;_-* &quot;-&quot;???_-;_-@_-"/>
    <numFmt numFmtId="169" formatCode="0.000000"/>
  </numFmts>
  <fonts count="28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vertAlign val="superscript"/>
      <sz val="10"/>
      <color rgb="FF0000FF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9" fontId="5" fillId="0" borderId="0" xfId="0" applyNumberFormat="1" applyFont="1"/>
    <xf numFmtId="0" fontId="8" fillId="0" borderId="0" xfId="0" applyFont="1"/>
    <xf numFmtId="165" fontId="8" fillId="0" borderId="0" xfId="0" applyNumberFormat="1" applyFont="1"/>
    <xf numFmtId="164" fontId="5" fillId="0" borderId="0" xfId="1" applyNumberFormat="1" applyFont="1"/>
    <xf numFmtId="2" fontId="5" fillId="0" borderId="0" xfId="0" applyNumberFormat="1" applyFont="1"/>
    <xf numFmtId="164" fontId="8" fillId="0" borderId="0" xfId="0" applyNumberFormat="1" applyFont="1"/>
    <xf numFmtId="165" fontId="5" fillId="0" borderId="0" xfId="0" applyNumberFormat="1" applyFont="1"/>
    <xf numFmtId="4" fontId="0" fillId="0" borderId="0" xfId="0" applyNumberFormat="1"/>
    <xf numFmtId="0" fontId="9" fillId="0" borderId="0" xfId="0" applyFont="1"/>
    <xf numFmtId="166" fontId="9" fillId="0" borderId="0" xfId="0" applyNumberFormat="1" applyFont="1"/>
    <xf numFmtId="43" fontId="0" fillId="0" borderId="0" xfId="1" applyFont="1"/>
    <xf numFmtId="4" fontId="10" fillId="0" borderId="0" xfId="0" applyNumberFormat="1" applyFont="1"/>
    <xf numFmtId="164" fontId="0" fillId="0" borderId="0" xfId="1" applyNumberFormat="1" applyFont="1"/>
    <xf numFmtId="43" fontId="0" fillId="0" borderId="0" xfId="0" applyNumberFormat="1"/>
    <xf numFmtId="43" fontId="5" fillId="0" borderId="0" xfId="1" applyFont="1"/>
    <xf numFmtId="164" fontId="12" fillId="0" borderId="0" xfId="1" applyNumberFormat="1" applyFont="1"/>
    <xf numFmtId="43" fontId="13" fillId="0" borderId="0" xfId="0" applyNumberFormat="1" applyFont="1"/>
    <xf numFmtId="43" fontId="14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4" fillId="0" borderId="0" xfId="0" applyFont="1"/>
    <xf numFmtId="0" fontId="16" fillId="0" borderId="0" xfId="0" applyFont="1"/>
    <xf numFmtId="164" fontId="16" fillId="0" borderId="0" xfId="1" applyNumberFormat="1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164" fontId="2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21" fillId="0" borderId="0" xfId="0" applyFont="1" applyAlignment="1">
      <alignment horizontal="center"/>
    </xf>
    <xf numFmtId="165" fontId="2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/>
    <xf numFmtId="1" fontId="2" fillId="2" borderId="0" xfId="0" applyNumberFormat="1" applyFont="1" applyFill="1"/>
    <xf numFmtId="2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21" fillId="0" borderId="0" xfId="0" applyFont="1"/>
    <xf numFmtId="167" fontId="21" fillId="0" borderId="0" xfId="0" applyNumberFormat="1" applyFont="1" applyBorder="1"/>
    <xf numFmtId="168" fontId="21" fillId="0" borderId="0" xfId="0" applyNumberFormat="1" applyFont="1"/>
    <xf numFmtId="2" fontId="21" fillId="2" borderId="0" xfId="0" applyNumberFormat="1" applyFont="1" applyFill="1"/>
    <xf numFmtId="169" fontId="21" fillId="0" borderId="0" xfId="0" applyNumberFormat="1" applyFont="1"/>
    <xf numFmtId="0" fontId="23" fillId="0" borderId="0" xfId="0" applyFont="1" applyAlignment="1">
      <alignment vertical="center"/>
    </xf>
    <xf numFmtId="0" fontId="21" fillId="2" borderId="0" xfId="0" applyFont="1" applyFill="1"/>
    <xf numFmtId="164" fontId="21" fillId="2" borderId="0" xfId="1" applyNumberFormat="1" applyFont="1" applyFill="1"/>
    <xf numFmtId="0" fontId="25" fillId="0" borderId="0" xfId="0" applyFont="1"/>
    <xf numFmtId="43" fontId="3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164" fontId="8" fillId="0" borderId="0" xfId="1" applyNumberFormat="1" applyFont="1"/>
    <xf numFmtId="166" fontId="3" fillId="0" borderId="0" xfId="0" applyNumberFormat="1" applyFont="1"/>
    <xf numFmtId="164" fontId="27" fillId="0" borderId="0" xfId="1" applyNumberFormat="1" applyFont="1"/>
    <xf numFmtId="2" fontId="2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4352925</xdr:colOff>
      <xdr:row>53</xdr:row>
      <xdr:rowOff>47625</xdr:rowOff>
    </xdr:from>
    <xdr:to>
      <xdr:col>13</xdr:col>
      <xdr:colOff>28575</xdr:colOff>
      <xdr:row>57</xdr:row>
      <xdr:rowOff>180975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11258550"/>
          <a:ext cx="49053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63</xdr:row>
      <xdr:rowOff>0</xdr:rowOff>
    </xdr:from>
    <xdr:to>
      <xdr:col>12</xdr:col>
      <xdr:colOff>400050</xdr:colOff>
      <xdr:row>65</xdr:row>
      <xdr:rowOff>161925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13287375"/>
          <a:ext cx="46386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H30" sqref="H30"/>
    </sheetView>
  </sheetViews>
  <sheetFormatPr defaultRowHeight="15" x14ac:dyDescent="0.25"/>
  <cols>
    <col min="1" max="1" width="6.7109375" customWidth="1"/>
    <col min="2" max="2" width="61" customWidth="1"/>
    <col min="5" max="5" width="11.5703125" customWidth="1"/>
    <col min="6" max="6" width="13.85546875" customWidth="1"/>
    <col min="7" max="7" width="10.5703125" customWidth="1"/>
    <col min="8" max="8" width="68.140625" customWidth="1"/>
  </cols>
  <sheetData>
    <row r="1" spans="1:8" ht="23.25" x14ac:dyDescent="0.35">
      <c r="A1" s="1" t="s">
        <v>0</v>
      </c>
    </row>
    <row r="3" spans="1:8" x14ac:dyDescent="0.25">
      <c r="B3" s="5"/>
      <c r="C3" s="5"/>
      <c r="D3" s="5"/>
      <c r="E3" s="5"/>
      <c r="F3" s="5"/>
      <c r="G3" s="5"/>
      <c r="H3" s="5"/>
    </row>
    <row r="4" spans="1:8" ht="15.75" x14ac:dyDescent="0.25">
      <c r="A4" s="3"/>
      <c r="B4" s="6" t="s">
        <v>4</v>
      </c>
      <c r="C4" s="6"/>
      <c r="D4" s="6"/>
      <c r="E4" s="6" t="s">
        <v>5</v>
      </c>
      <c r="F4" s="6" t="s">
        <v>6</v>
      </c>
      <c r="G4" s="6" t="s">
        <v>6</v>
      </c>
      <c r="H4" s="6" t="s">
        <v>7</v>
      </c>
    </row>
    <row r="5" spans="1:8" x14ac:dyDescent="0.25">
      <c r="B5" s="5"/>
      <c r="C5" s="5"/>
      <c r="D5" s="5"/>
      <c r="E5" s="5"/>
      <c r="F5" s="6" t="s">
        <v>42</v>
      </c>
      <c r="G5" s="6" t="s">
        <v>44</v>
      </c>
      <c r="H5" s="5"/>
    </row>
    <row r="6" spans="1:8" x14ac:dyDescent="0.25">
      <c r="B6" s="5"/>
      <c r="C6" s="5"/>
      <c r="D6" s="5"/>
      <c r="E6" s="5"/>
      <c r="F6" s="5"/>
      <c r="G6" s="5"/>
      <c r="H6" s="5"/>
    </row>
    <row r="7" spans="1:8" ht="15.75" x14ac:dyDescent="0.25">
      <c r="A7" s="2" t="s">
        <v>1</v>
      </c>
      <c r="B7" s="4" t="s">
        <v>2</v>
      </c>
      <c r="C7" s="4"/>
      <c r="D7" s="4"/>
      <c r="E7" s="4" t="s">
        <v>3</v>
      </c>
      <c r="F7" s="4">
        <v>75</v>
      </c>
      <c r="G7" s="4"/>
      <c r="H7" s="4"/>
    </row>
    <row r="8" spans="1:8" ht="15.75" x14ac:dyDescent="0.25">
      <c r="A8" s="2"/>
      <c r="B8" s="4"/>
      <c r="C8" s="4"/>
      <c r="D8" s="4"/>
      <c r="E8" s="4"/>
      <c r="F8" s="4"/>
      <c r="G8" s="4"/>
      <c r="H8" s="4"/>
    </row>
    <row r="9" spans="1:8" ht="15.75" x14ac:dyDescent="0.25">
      <c r="A9" s="2"/>
      <c r="B9" s="4" t="s">
        <v>18</v>
      </c>
      <c r="C9" s="4"/>
      <c r="D9" s="4"/>
      <c r="E9" s="4" t="s">
        <v>9</v>
      </c>
      <c r="F9" s="7">
        <v>0.8</v>
      </c>
      <c r="G9" s="7"/>
      <c r="H9" s="4"/>
    </row>
    <row r="10" spans="1:8" ht="15.75" x14ac:dyDescent="0.25">
      <c r="A10" s="2"/>
      <c r="B10" s="4"/>
      <c r="C10" s="4"/>
      <c r="D10" s="4"/>
      <c r="E10" s="4"/>
      <c r="F10" s="4"/>
      <c r="G10" s="4"/>
      <c r="H10" s="4"/>
    </row>
    <row r="11" spans="1:8" ht="15.75" x14ac:dyDescent="0.25">
      <c r="A11" s="2"/>
      <c r="B11" s="4" t="s">
        <v>8</v>
      </c>
      <c r="C11" s="4"/>
      <c r="D11" s="4"/>
      <c r="E11" s="4" t="s">
        <v>9</v>
      </c>
      <c r="F11" s="7">
        <v>0.9</v>
      </c>
      <c r="G11" s="7"/>
      <c r="H11" s="4" t="s">
        <v>14</v>
      </c>
    </row>
    <row r="12" spans="1:8" ht="15.75" x14ac:dyDescent="0.25">
      <c r="A12" s="2"/>
      <c r="B12" s="4"/>
      <c r="C12" s="4"/>
      <c r="D12" s="4"/>
      <c r="E12" s="4"/>
      <c r="F12" s="4"/>
      <c r="G12" s="4"/>
      <c r="H12" s="4"/>
    </row>
    <row r="13" spans="1:8" ht="15.75" x14ac:dyDescent="0.25">
      <c r="A13" s="2"/>
      <c r="B13" s="4" t="s">
        <v>10</v>
      </c>
      <c r="C13" s="4"/>
      <c r="D13" s="4"/>
      <c r="E13" s="4" t="s">
        <v>11</v>
      </c>
      <c r="F13" s="4">
        <v>528</v>
      </c>
      <c r="G13" s="4"/>
      <c r="H13" s="4" t="s">
        <v>12</v>
      </c>
    </row>
    <row r="14" spans="1:8" ht="15.75" x14ac:dyDescent="0.25">
      <c r="A14" s="2"/>
      <c r="B14" s="4"/>
      <c r="C14" s="4"/>
      <c r="D14" s="4"/>
      <c r="E14" s="4"/>
      <c r="F14" s="4"/>
      <c r="G14" s="4"/>
      <c r="H14" s="4"/>
    </row>
    <row r="15" spans="1:8" ht="15.75" x14ac:dyDescent="0.25">
      <c r="A15" s="2"/>
      <c r="B15" s="4" t="s">
        <v>13</v>
      </c>
      <c r="C15" s="4"/>
      <c r="D15" s="4"/>
      <c r="E15" s="4" t="s">
        <v>9</v>
      </c>
      <c r="F15" s="7">
        <v>0.72</v>
      </c>
      <c r="G15" s="7"/>
      <c r="H15" s="4" t="s">
        <v>15</v>
      </c>
    </row>
    <row r="16" spans="1:8" ht="15.75" x14ac:dyDescent="0.25">
      <c r="A16" s="2"/>
      <c r="B16" s="4"/>
      <c r="C16" s="4"/>
      <c r="D16" s="4"/>
      <c r="E16" s="4"/>
      <c r="F16" s="4"/>
      <c r="G16" s="4"/>
      <c r="H16" s="4"/>
    </row>
    <row r="17" spans="1:8" ht="15.75" x14ac:dyDescent="0.25">
      <c r="A17" s="2"/>
      <c r="B17" s="4" t="s">
        <v>27</v>
      </c>
      <c r="C17" s="4"/>
      <c r="D17" s="4"/>
      <c r="E17" s="4" t="s">
        <v>9</v>
      </c>
      <c r="F17" s="7">
        <v>0.9</v>
      </c>
      <c r="G17" s="4"/>
      <c r="H17" s="4" t="s">
        <v>54</v>
      </c>
    </row>
    <row r="18" spans="1:8" ht="15.75" x14ac:dyDescent="0.25">
      <c r="A18" s="2"/>
      <c r="B18" s="4"/>
      <c r="C18" s="4"/>
      <c r="D18" s="4"/>
      <c r="E18" s="4"/>
      <c r="F18" s="4"/>
      <c r="G18" s="4"/>
      <c r="H18" s="4"/>
    </row>
    <row r="19" spans="1:8" ht="15.75" x14ac:dyDescent="0.25">
      <c r="A19" s="2"/>
      <c r="B19" s="4" t="s">
        <v>17</v>
      </c>
      <c r="C19" s="4"/>
      <c r="D19" s="4"/>
      <c r="E19" s="8" t="s">
        <v>3</v>
      </c>
      <c r="F19" s="9">
        <f>F7*F9*F11*F15*F17</f>
        <v>34.991999999999997</v>
      </c>
      <c r="G19" s="9"/>
      <c r="H19" s="4"/>
    </row>
    <row r="20" spans="1:8" ht="15.75" x14ac:dyDescent="0.25">
      <c r="A20" s="2"/>
      <c r="B20" s="4"/>
      <c r="C20" s="4"/>
      <c r="D20" s="4"/>
      <c r="E20" s="4"/>
      <c r="F20" s="4"/>
      <c r="G20" s="4"/>
      <c r="H20" s="4"/>
    </row>
    <row r="21" spans="1:8" ht="15.75" x14ac:dyDescent="0.25">
      <c r="A21" s="2"/>
      <c r="B21" s="4" t="s">
        <v>17</v>
      </c>
      <c r="C21" s="4"/>
      <c r="D21" s="4"/>
      <c r="E21" s="4" t="s">
        <v>30</v>
      </c>
      <c r="F21" s="22">
        <f>F19*860</f>
        <v>30093.119999999999</v>
      </c>
      <c r="G21" s="4"/>
      <c r="H21" s="4" t="s">
        <v>45</v>
      </c>
    </row>
    <row r="22" spans="1:8" ht="15.75" x14ac:dyDescent="0.25">
      <c r="A22" s="2"/>
      <c r="B22" s="4"/>
      <c r="C22" s="4"/>
      <c r="D22" s="4"/>
      <c r="E22" s="4"/>
      <c r="F22" s="4"/>
      <c r="G22" s="4"/>
      <c r="H22" s="4"/>
    </row>
    <row r="23" spans="1:8" ht="15.75" x14ac:dyDescent="0.25">
      <c r="A23" s="2"/>
      <c r="B23" s="28" t="s">
        <v>46</v>
      </c>
      <c r="C23" s="30"/>
      <c r="D23" s="30"/>
      <c r="E23" s="30" t="s">
        <v>16</v>
      </c>
      <c r="F23" s="29">
        <f>F19*F13*2</f>
        <v>36951.551999999996</v>
      </c>
      <c r="G23" s="10"/>
      <c r="H23" s="4"/>
    </row>
    <row r="24" spans="1:8" ht="15.75" x14ac:dyDescent="0.25">
      <c r="A24" s="2"/>
      <c r="B24" s="25" t="s">
        <v>60</v>
      </c>
      <c r="C24" s="4"/>
      <c r="D24" s="4"/>
      <c r="E24" s="25" t="s">
        <v>16</v>
      </c>
      <c r="F24" s="26">
        <f>F23*12</f>
        <v>443418.62399999995</v>
      </c>
      <c r="G24" s="4"/>
      <c r="H24" s="4"/>
    </row>
    <row r="25" spans="1:8" ht="15.75" x14ac:dyDescent="0.25">
      <c r="A25" s="2"/>
      <c r="B25" s="4"/>
      <c r="C25" s="4"/>
      <c r="D25" s="4"/>
      <c r="E25" s="4"/>
      <c r="F25" s="4"/>
      <c r="G25" s="4"/>
      <c r="H25" s="4"/>
    </row>
    <row r="26" spans="1:8" ht="15.75" x14ac:dyDescent="0.25">
      <c r="A26" s="2"/>
      <c r="B26" s="4" t="s">
        <v>20</v>
      </c>
      <c r="C26" s="4"/>
      <c r="D26" s="4"/>
      <c r="E26" s="4" t="s">
        <v>29</v>
      </c>
      <c r="F26" s="4">
        <v>540</v>
      </c>
      <c r="G26" s="4"/>
      <c r="H26" s="4"/>
    </row>
    <row r="27" spans="1:8" ht="15.75" x14ac:dyDescent="0.25">
      <c r="A27" s="2"/>
      <c r="B27" s="4"/>
      <c r="C27" s="4"/>
      <c r="D27" s="4"/>
      <c r="E27" s="4"/>
      <c r="F27" s="4"/>
      <c r="G27" s="4"/>
      <c r="H27" s="4"/>
    </row>
    <row r="28" spans="1:8" ht="15.75" x14ac:dyDescent="0.25">
      <c r="A28" s="2"/>
      <c r="B28" s="4" t="s">
        <v>22</v>
      </c>
      <c r="C28" s="4"/>
      <c r="D28" s="4"/>
      <c r="E28" s="4" t="s">
        <v>21</v>
      </c>
      <c r="F28" s="4">
        <v>860</v>
      </c>
      <c r="G28" s="4"/>
      <c r="H28" s="4"/>
    </row>
    <row r="29" spans="1:8" ht="15.75" x14ac:dyDescent="0.25">
      <c r="A29" s="2"/>
      <c r="B29" s="4"/>
      <c r="C29" s="4"/>
      <c r="D29" s="4"/>
      <c r="E29" s="4"/>
      <c r="F29" s="4"/>
      <c r="G29" s="4"/>
      <c r="H29" s="4"/>
    </row>
    <row r="30" spans="1:8" ht="15.75" x14ac:dyDescent="0.25">
      <c r="A30" s="2"/>
      <c r="B30" s="4" t="s">
        <v>23</v>
      </c>
      <c r="C30" s="4"/>
      <c r="D30" s="4"/>
      <c r="E30" s="4" t="s">
        <v>24</v>
      </c>
      <c r="F30" s="11">
        <f>F28/F26</f>
        <v>1.5925925925925926</v>
      </c>
      <c r="G30" s="11"/>
      <c r="H30" s="4"/>
    </row>
    <row r="31" spans="1:8" ht="15.75" x14ac:dyDescent="0.25">
      <c r="A31" s="2"/>
      <c r="B31" s="4"/>
      <c r="C31" s="4"/>
      <c r="D31" s="4"/>
      <c r="E31" s="4"/>
      <c r="F31" s="4"/>
      <c r="G31" s="4"/>
      <c r="H31" s="4"/>
    </row>
    <row r="32" spans="1:8" ht="15.75" x14ac:dyDescent="0.25">
      <c r="A32" s="2"/>
      <c r="B32" s="4" t="s">
        <v>31</v>
      </c>
      <c r="C32" s="4"/>
      <c r="D32" s="4"/>
      <c r="E32" s="4" t="s">
        <v>9</v>
      </c>
      <c r="F32" s="7">
        <v>0.8</v>
      </c>
      <c r="G32" s="4"/>
      <c r="H32" s="4"/>
    </row>
    <row r="33" spans="1:8" ht="15.75" x14ac:dyDescent="0.25">
      <c r="A33" s="2"/>
      <c r="B33" s="4"/>
      <c r="C33" s="4"/>
      <c r="D33" s="4"/>
      <c r="E33" s="4"/>
      <c r="F33" s="4"/>
      <c r="G33" s="4"/>
      <c r="H33" s="4"/>
    </row>
    <row r="34" spans="1:8" ht="15.75" x14ac:dyDescent="0.25">
      <c r="A34" s="2"/>
      <c r="B34" s="8" t="s">
        <v>19</v>
      </c>
      <c r="C34" s="8"/>
      <c r="D34" s="8"/>
      <c r="E34" s="8" t="s">
        <v>25</v>
      </c>
      <c r="F34" s="12">
        <f>F23*F30*F32</f>
        <v>47079.014399999993</v>
      </c>
      <c r="G34" s="8"/>
      <c r="H34" s="4"/>
    </row>
    <row r="35" spans="1:8" ht="15.75" x14ac:dyDescent="0.25">
      <c r="A35" s="2"/>
      <c r="B35" s="8"/>
      <c r="C35" s="4"/>
      <c r="D35" s="4"/>
      <c r="E35" s="4"/>
      <c r="F35" s="4"/>
      <c r="G35" s="4"/>
      <c r="H35" s="4"/>
    </row>
    <row r="36" spans="1:8" ht="15.75" x14ac:dyDescent="0.25">
      <c r="A36" s="2"/>
      <c r="B36" s="8" t="s">
        <v>19</v>
      </c>
      <c r="C36" s="8"/>
      <c r="D36" s="8"/>
      <c r="E36" s="8" t="s">
        <v>26</v>
      </c>
      <c r="F36" s="12">
        <f>F34/22</f>
        <v>2139.9551999999999</v>
      </c>
      <c r="G36" s="4"/>
      <c r="H36" s="4"/>
    </row>
    <row r="37" spans="1:8" ht="15.75" x14ac:dyDescent="0.25">
      <c r="A37" s="2"/>
      <c r="B37" s="4"/>
      <c r="C37" s="4"/>
      <c r="D37" s="4"/>
      <c r="E37" s="4"/>
      <c r="F37" s="4"/>
      <c r="G37" s="4"/>
      <c r="H37" s="4"/>
    </row>
    <row r="38" spans="1:8" ht="15.75" x14ac:dyDescent="0.25">
      <c r="A38" s="2"/>
      <c r="B38" s="4" t="s">
        <v>32</v>
      </c>
      <c r="C38" s="4"/>
      <c r="D38" s="4"/>
      <c r="E38" s="4" t="s">
        <v>39</v>
      </c>
      <c r="F38" s="4">
        <v>40</v>
      </c>
      <c r="G38" s="4"/>
      <c r="H38" s="4"/>
    </row>
    <row r="39" spans="1:8" ht="15.75" x14ac:dyDescent="0.25">
      <c r="A39" s="2"/>
      <c r="B39" s="4"/>
      <c r="C39" s="4"/>
      <c r="D39" s="4"/>
      <c r="E39" s="4"/>
      <c r="F39" s="4"/>
      <c r="G39" s="4"/>
      <c r="H39" s="4"/>
    </row>
    <row r="40" spans="1:8" ht="15.75" x14ac:dyDescent="0.25">
      <c r="A40" s="2"/>
      <c r="B40" s="4" t="s">
        <v>33</v>
      </c>
      <c r="C40" s="4"/>
      <c r="D40" s="4"/>
      <c r="E40" s="4" t="s">
        <v>39</v>
      </c>
      <c r="F40" s="4">
        <v>60</v>
      </c>
      <c r="G40" s="4"/>
      <c r="H40" s="4"/>
    </row>
    <row r="41" spans="1:8" ht="15.75" x14ac:dyDescent="0.25">
      <c r="A41" s="2"/>
      <c r="B41" s="4"/>
      <c r="C41" s="4"/>
      <c r="D41" s="4"/>
      <c r="E41" s="4"/>
      <c r="F41" s="4"/>
      <c r="G41" s="4"/>
      <c r="H41" s="4"/>
    </row>
    <row r="42" spans="1:8" ht="15.75" x14ac:dyDescent="0.25">
      <c r="A42" s="2"/>
      <c r="B42" s="4" t="s">
        <v>122</v>
      </c>
      <c r="C42" s="4"/>
      <c r="D42" s="4"/>
      <c r="E42" s="4" t="s">
        <v>28</v>
      </c>
      <c r="F42" s="59">
        <f>F21/(F40-F38)</f>
        <v>1504.6559999999999</v>
      </c>
      <c r="G42" s="4"/>
      <c r="H42" s="4" t="s">
        <v>36</v>
      </c>
    </row>
    <row r="43" spans="1:8" ht="15.75" x14ac:dyDescent="0.25">
      <c r="A43" s="2"/>
      <c r="B43" s="4"/>
      <c r="C43" s="4"/>
      <c r="D43" s="4"/>
      <c r="E43" s="4"/>
      <c r="F43" s="4"/>
      <c r="G43" s="4"/>
      <c r="H43" s="4"/>
    </row>
    <row r="44" spans="1:8" ht="15.75" x14ac:dyDescent="0.25">
      <c r="A44" s="2"/>
      <c r="B44" s="4" t="s">
        <v>34</v>
      </c>
      <c r="C44" s="4"/>
      <c r="D44" s="4"/>
      <c r="E44" s="4" t="s">
        <v>35</v>
      </c>
      <c r="F44" s="13">
        <v>32</v>
      </c>
      <c r="G44" s="4"/>
      <c r="H44" s="4"/>
    </row>
    <row r="45" spans="1:8" ht="15.75" x14ac:dyDescent="0.25">
      <c r="A45" s="2"/>
      <c r="B45" s="4"/>
      <c r="C45" s="4"/>
      <c r="D45" s="4"/>
      <c r="E45" s="4"/>
      <c r="F45" s="4"/>
      <c r="G45" s="4"/>
      <c r="H45" s="4"/>
    </row>
    <row r="46" spans="1:8" ht="15.75" x14ac:dyDescent="0.25">
      <c r="A46" s="2"/>
      <c r="B46" s="4" t="s">
        <v>37</v>
      </c>
      <c r="C46" s="4"/>
      <c r="D46" s="4"/>
      <c r="E46" s="4" t="s">
        <v>38</v>
      </c>
      <c r="F46" s="4">
        <v>1.46</v>
      </c>
      <c r="G46" s="4"/>
      <c r="H46" s="4" t="s">
        <v>53</v>
      </c>
    </row>
    <row r="47" spans="1:8" ht="15.75" x14ac:dyDescent="0.25">
      <c r="A47" s="2"/>
      <c r="B47" s="4"/>
      <c r="C47" s="4"/>
      <c r="D47" s="4"/>
      <c r="E47" s="4"/>
      <c r="F47" s="4"/>
      <c r="G47" s="4"/>
      <c r="H47" s="4"/>
    </row>
    <row r="48" spans="1:8" ht="15.75" x14ac:dyDescent="0.25">
      <c r="A48" s="2"/>
      <c r="B48" s="4" t="s">
        <v>56</v>
      </c>
      <c r="C48" s="4"/>
      <c r="D48" s="4"/>
      <c r="E48" s="4" t="s">
        <v>40</v>
      </c>
      <c r="F48" s="10">
        <f>100000/13.2</f>
        <v>7575.757575757576</v>
      </c>
      <c r="G48" s="4"/>
      <c r="H48" t="s">
        <v>55</v>
      </c>
    </row>
    <row r="49" spans="1:8" ht="15.75" x14ac:dyDescent="0.25">
      <c r="A49" s="2"/>
      <c r="B49" s="4"/>
      <c r="C49" s="4"/>
      <c r="D49" s="4"/>
      <c r="E49" s="4"/>
      <c r="F49" s="4"/>
      <c r="G49" s="4"/>
      <c r="H49" s="4"/>
    </row>
    <row r="50" spans="1:8" ht="15.75" x14ac:dyDescent="0.25">
      <c r="A50" s="2"/>
      <c r="B50" s="28" t="s">
        <v>61</v>
      </c>
      <c r="C50" s="28"/>
      <c r="D50" s="28"/>
      <c r="E50" s="28" t="s">
        <v>64</v>
      </c>
      <c r="F50" s="29">
        <f>F23*860/F48</f>
        <v>4194.7401830399995</v>
      </c>
      <c r="G50" s="4"/>
      <c r="H50" s="4"/>
    </row>
    <row r="51" spans="1:8" ht="15.75" x14ac:dyDescent="0.25">
      <c r="A51" s="2"/>
      <c r="B51" s="25" t="s">
        <v>62</v>
      </c>
      <c r="C51" s="25"/>
      <c r="D51" s="25"/>
      <c r="E51" s="25" t="s">
        <v>63</v>
      </c>
      <c r="F51" s="22">
        <f>F50*12</f>
        <v>50336.882196479994</v>
      </c>
      <c r="G51" s="2"/>
      <c r="H51" s="2"/>
    </row>
    <row r="52" spans="1:8" ht="15.75" x14ac:dyDescent="0.25">
      <c r="A52" s="2"/>
      <c r="B52" s="4"/>
      <c r="C52" s="2"/>
      <c r="D52" s="2"/>
      <c r="E52" s="2"/>
      <c r="F52" s="2"/>
      <c r="G52" s="2"/>
      <c r="H52" s="2"/>
    </row>
    <row r="53" spans="1:8" ht="15.75" x14ac:dyDescent="0.25">
      <c r="A53" s="2"/>
      <c r="B53" s="8" t="s">
        <v>66</v>
      </c>
      <c r="C53" s="3"/>
      <c r="D53" s="3"/>
      <c r="E53" s="8" t="s">
        <v>41</v>
      </c>
      <c r="F53" s="21">
        <f>F50*F46</f>
        <v>6124.3206672383994</v>
      </c>
      <c r="G53" s="2"/>
      <c r="H53" s="2"/>
    </row>
    <row r="54" spans="1:8" x14ac:dyDescent="0.25">
      <c r="B54" s="25" t="s">
        <v>65</v>
      </c>
      <c r="C54" s="27"/>
      <c r="D54" s="27"/>
      <c r="E54" s="25" t="s">
        <v>50</v>
      </c>
      <c r="F54" s="23">
        <f>F53*12</f>
        <v>73491.84800686079</v>
      </c>
      <c r="G54" s="23">
        <f>F54/2.263</f>
        <v>32475.40786869677</v>
      </c>
    </row>
    <row r="55" spans="1:8" x14ac:dyDescent="0.25">
      <c r="B55" s="8"/>
      <c r="E55" s="8"/>
      <c r="F55" s="20"/>
      <c r="G55" s="24"/>
    </row>
    <row r="56" spans="1:8" x14ac:dyDescent="0.25">
      <c r="B56" t="s">
        <v>51</v>
      </c>
      <c r="E56" t="s">
        <v>42</v>
      </c>
      <c r="F56" s="14">
        <v>56654.18</v>
      </c>
      <c r="G56" s="24">
        <f t="shared" ref="G56:G64" si="0">F56/2.263</f>
        <v>25034.988952717631</v>
      </c>
      <c r="H56" s="17"/>
    </row>
    <row r="57" spans="1:8" x14ac:dyDescent="0.25">
      <c r="G57" s="23"/>
    </row>
    <row r="58" spans="1:8" x14ac:dyDescent="0.25">
      <c r="B58" t="s">
        <v>152</v>
      </c>
      <c r="E58" t="s">
        <v>42</v>
      </c>
      <c r="F58" s="18"/>
      <c r="G58" s="23">
        <v>64300</v>
      </c>
    </row>
    <row r="59" spans="1:8" x14ac:dyDescent="0.25">
      <c r="G59" s="23"/>
    </row>
    <row r="60" spans="1:8" x14ac:dyDescent="0.25">
      <c r="B60" t="s">
        <v>48</v>
      </c>
      <c r="E60" t="s">
        <v>42</v>
      </c>
      <c r="F60" s="19">
        <v>2000</v>
      </c>
      <c r="G60" s="24">
        <f t="shared" si="0"/>
        <v>883.78258948298719</v>
      </c>
    </row>
    <row r="61" spans="1:8" x14ac:dyDescent="0.25">
      <c r="B61" t="s">
        <v>57</v>
      </c>
      <c r="F61" s="19">
        <v>4000</v>
      </c>
      <c r="G61" s="24">
        <f t="shared" si="0"/>
        <v>1767.5651789659744</v>
      </c>
    </row>
    <row r="62" spans="1:8" x14ac:dyDescent="0.25">
      <c r="B62" t="s">
        <v>58</v>
      </c>
      <c r="E62" t="s">
        <v>42</v>
      </c>
      <c r="F62" s="19"/>
      <c r="G62" s="23">
        <f>-G61+G60</f>
        <v>-883.78258948298719</v>
      </c>
    </row>
    <row r="63" spans="1:8" x14ac:dyDescent="0.25">
      <c r="F63" s="19"/>
      <c r="G63" s="23"/>
    </row>
    <row r="64" spans="1:8" x14ac:dyDescent="0.25">
      <c r="B64" t="s">
        <v>49</v>
      </c>
      <c r="E64" t="s">
        <v>42</v>
      </c>
      <c r="F64" s="17">
        <f>F58/10</f>
        <v>0</v>
      </c>
      <c r="G64" s="23">
        <f t="shared" si="0"/>
        <v>0</v>
      </c>
      <c r="H64" t="s">
        <v>59</v>
      </c>
    </row>
    <row r="67" spans="2:7" ht="15.75" x14ac:dyDescent="0.25">
      <c r="B67" s="15" t="s">
        <v>52</v>
      </c>
      <c r="C67" s="15"/>
      <c r="D67" s="15"/>
      <c r="E67" s="15" t="s">
        <v>43</v>
      </c>
      <c r="F67" s="16"/>
      <c r="G67" s="16">
        <v>2.7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2" workbookViewId="0">
      <selection activeCell="J9" sqref="J9"/>
    </sheetView>
  </sheetViews>
  <sheetFormatPr defaultRowHeight="15" x14ac:dyDescent="0.25"/>
  <cols>
    <col min="2" max="2" width="67" customWidth="1"/>
    <col min="3" max="3" width="14.140625" customWidth="1"/>
    <col min="4" max="4" width="19.140625" customWidth="1"/>
  </cols>
  <sheetData>
    <row r="1" spans="1:8" ht="18" x14ac:dyDescent="0.25">
      <c r="A1" s="31" t="s">
        <v>67</v>
      </c>
      <c r="B1" s="2"/>
      <c r="C1" s="2"/>
      <c r="D1" s="2"/>
      <c r="E1" s="2"/>
      <c r="F1" s="2"/>
      <c r="G1" s="2"/>
      <c r="H1" s="2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158</v>
      </c>
      <c r="B3" s="2"/>
      <c r="C3" s="2"/>
      <c r="D3" s="2"/>
      <c r="E3" s="2"/>
      <c r="F3" s="2"/>
      <c r="G3" s="2"/>
      <c r="H3" s="2"/>
    </row>
    <row r="4" spans="1:8" ht="15.75" x14ac:dyDescent="0.25">
      <c r="A4" s="2"/>
      <c r="B4" s="2"/>
      <c r="C4" s="2"/>
      <c r="D4" s="2"/>
      <c r="E4" s="2"/>
      <c r="F4" s="2"/>
      <c r="G4" s="2"/>
      <c r="H4" s="2"/>
    </row>
    <row r="5" spans="1:8" ht="15.75" x14ac:dyDescent="0.25">
      <c r="A5" s="2"/>
      <c r="B5" s="32" t="s">
        <v>4</v>
      </c>
      <c r="C5" s="32" t="s">
        <v>5</v>
      </c>
      <c r="D5" s="32" t="s">
        <v>6</v>
      </c>
      <c r="E5" s="32" t="s">
        <v>68</v>
      </c>
      <c r="F5" s="2"/>
      <c r="G5" s="2"/>
      <c r="H5" s="2"/>
    </row>
    <row r="6" spans="1:8" ht="15.75" x14ac:dyDescent="0.25">
      <c r="A6" s="2"/>
      <c r="B6" s="2"/>
      <c r="C6" s="2"/>
      <c r="D6" s="2"/>
      <c r="E6" s="2"/>
      <c r="F6" s="2"/>
      <c r="G6" s="2"/>
      <c r="H6" s="2"/>
    </row>
    <row r="7" spans="1:8" ht="18.75" x14ac:dyDescent="0.25">
      <c r="A7" s="2"/>
      <c r="B7" s="2" t="s">
        <v>69</v>
      </c>
      <c r="C7" s="2" t="s">
        <v>70</v>
      </c>
      <c r="D7" s="2">
        <v>200</v>
      </c>
      <c r="E7" s="2"/>
      <c r="F7" s="2"/>
      <c r="G7" s="2"/>
      <c r="H7" s="2"/>
    </row>
    <row r="8" spans="1:8" ht="18.75" x14ac:dyDescent="0.25">
      <c r="A8" s="2"/>
      <c r="B8" s="2" t="s">
        <v>71</v>
      </c>
      <c r="C8" s="33" t="s">
        <v>72</v>
      </c>
      <c r="D8" s="34">
        <f>1/33.6</f>
        <v>2.976190476190476E-2</v>
      </c>
      <c r="E8" s="2"/>
      <c r="F8" s="2"/>
      <c r="G8" s="2"/>
      <c r="H8" s="2"/>
    </row>
    <row r="9" spans="1:8" ht="15.75" x14ac:dyDescent="0.25">
      <c r="A9" s="2"/>
      <c r="B9" s="2" t="s">
        <v>73</v>
      </c>
      <c r="C9" s="33" t="s">
        <v>30</v>
      </c>
      <c r="D9" s="35">
        <v>27000</v>
      </c>
      <c r="E9" s="2"/>
      <c r="F9" s="2"/>
      <c r="G9" s="2"/>
      <c r="H9" s="2"/>
    </row>
    <row r="10" spans="1:8" ht="15.75" x14ac:dyDescent="0.25">
      <c r="A10" s="2"/>
      <c r="B10" s="2" t="s">
        <v>74</v>
      </c>
      <c r="C10" s="33" t="s">
        <v>30</v>
      </c>
      <c r="D10" s="36">
        <f>2*D9</f>
        <v>54000</v>
      </c>
      <c r="E10" s="2"/>
      <c r="F10" s="2"/>
      <c r="G10" s="2"/>
      <c r="H10" s="2"/>
    </row>
    <row r="11" spans="1:8" ht="18.75" x14ac:dyDescent="0.25">
      <c r="A11" s="2"/>
      <c r="B11" s="2" t="s">
        <v>75</v>
      </c>
      <c r="C11" s="33" t="s">
        <v>76</v>
      </c>
      <c r="D11" s="2">
        <v>60</v>
      </c>
      <c r="E11" s="2"/>
      <c r="F11" s="2"/>
      <c r="G11" s="2"/>
      <c r="H11" s="2"/>
    </row>
    <row r="12" spans="1:8" ht="18.75" x14ac:dyDescent="0.25">
      <c r="B12" s="2" t="s">
        <v>77</v>
      </c>
      <c r="C12" s="33" t="s">
        <v>76</v>
      </c>
      <c r="D12" s="2">
        <v>40</v>
      </c>
      <c r="E12" s="2"/>
    </row>
    <row r="13" spans="1:8" ht="18.75" x14ac:dyDescent="0.25">
      <c r="B13" s="2" t="s">
        <v>78</v>
      </c>
      <c r="C13" s="33" t="s">
        <v>76</v>
      </c>
      <c r="D13" s="2">
        <v>30</v>
      </c>
      <c r="E13" s="2"/>
    </row>
    <row r="14" spans="1:8" ht="18.75" x14ac:dyDescent="0.25">
      <c r="B14" s="2" t="s">
        <v>79</v>
      </c>
      <c r="C14" s="33" t="s">
        <v>76</v>
      </c>
      <c r="D14" s="37">
        <f>(D11+D12)/2-D13</f>
        <v>20</v>
      </c>
      <c r="E14" s="2"/>
    </row>
    <row r="15" spans="1:8" ht="15.75" x14ac:dyDescent="0.25">
      <c r="B15" s="2"/>
      <c r="C15" s="38"/>
      <c r="D15" s="2"/>
      <c r="E15" s="2"/>
    </row>
    <row r="16" spans="1:8" ht="19.5" x14ac:dyDescent="0.3">
      <c r="B16" s="2" t="s">
        <v>80</v>
      </c>
      <c r="C16" s="33" t="s">
        <v>81</v>
      </c>
      <c r="D16" s="39">
        <f>D10/(D7*D14)</f>
        <v>13.5</v>
      </c>
      <c r="E16" s="2" t="s">
        <v>82</v>
      </c>
    </row>
    <row r="17" spans="1:7" ht="15.75" x14ac:dyDescent="0.25">
      <c r="B17" s="2"/>
      <c r="C17" s="40"/>
      <c r="D17" s="2"/>
      <c r="E17" s="2"/>
    </row>
    <row r="18" spans="1:7" ht="15.75" x14ac:dyDescent="0.25">
      <c r="B18" s="15" t="s">
        <v>83</v>
      </c>
      <c r="C18" s="41" t="s">
        <v>84</v>
      </c>
      <c r="D18" s="42">
        <f>D16/D8</f>
        <v>453.6</v>
      </c>
      <c r="E18" s="2"/>
    </row>
    <row r="19" spans="1:7" ht="15.75" x14ac:dyDescent="0.25">
      <c r="B19" s="2"/>
      <c r="C19" s="40"/>
      <c r="D19" s="2"/>
      <c r="E19" s="2"/>
    </row>
    <row r="20" spans="1:7" ht="15.75" x14ac:dyDescent="0.25">
      <c r="B20" s="2" t="s">
        <v>85</v>
      </c>
      <c r="C20" s="40" t="s">
        <v>84</v>
      </c>
      <c r="D20" s="2">
        <v>50</v>
      </c>
      <c r="E20" s="2"/>
    </row>
    <row r="21" spans="1:7" ht="15.75" x14ac:dyDescent="0.25">
      <c r="C21" s="40"/>
      <c r="D21" s="2"/>
      <c r="E21" s="2"/>
    </row>
    <row r="22" spans="1:7" ht="15.75" x14ac:dyDescent="0.25">
      <c r="A22" s="2"/>
      <c r="B22" s="2" t="s">
        <v>86</v>
      </c>
      <c r="C22" s="33" t="s">
        <v>87</v>
      </c>
      <c r="D22" s="43">
        <f>D18/D20</f>
        <v>9.072000000000001</v>
      </c>
      <c r="E22" s="2"/>
      <c r="F22" s="2"/>
      <c r="G22" s="2"/>
    </row>
    <row r="23" spans="1:7" ht="15.75" x14ac:dyDescent="0.25">
      <c r="A23" s="2"/>
      <c r="B23" s="2"/>
      <c r="C23" s="33"/>
      <c r="D23" s="2"/>
      <c r="E23" s="2"/>
      <c r="F23" s="2"/>
      <c r="G23" s="2"/>
    </row>
    <row r="24" spans="1:7" ht="18.75" x14ac:dyDescent="0.25">
      <c r="A24" s="2"/>
      <c r="B24" s="2" t="s">
        <v>88</v>
      </c>
      <c r="C24" s="33" t="s">
        <v>81</v>
      </c>
      <c r="D24" s="44">
        <f>D8*D20</f>
        <v>1.4880952380952379</v>
      </c>
      <c r="E24" s="2"/>
      <c r="F24" s="2"/>
      <c r="G24" s="2"/>
    </row>
    <row r="25" spans="1:7" ht="15.75" x14ac:dyDescent="0.25">
      <c r="A25" s="2"/>
      <c r="B25" s="2"/>
      <c r="C25" s="2"/>
      <c r="D25" s="2"/>
      <c r="E25" s="2"/>
      <c r="F25" s="2"/>
      <c r="G25" s="2"/>
    </row>
    <row r="26" spans="1:7" ht="18.75" x14ac:dyDescent="0.25">
      <c r="A26" s="2"/>
      <c r="B26" s="2" t="s">
        <v>75</v>
      </c>
      <c r="C26" s="33" t="s">
        <v>76</v>
      </c>
      <c r="D26" s="2">
        <v>60</v>
      </c>
      <c r="E26" s="2"/>
      <c r="F26" s="2"/>
      <c r="G26" s="2"/>
    </row>
    <row r="27" spans="1:7" ht="15.75" x14ac:dyDescent="0.25">
      <c r="A27" s="2"/>
      <c r="C27" s="38"/>
      <c r="E27" s="2"/>
      <c r="F27" s="2"/>
      <c r="G27" s="2"/>
    </row>
    <row r="28" spans="1:7" ht="18.75" x14ac:dyDescent="0.25">
      <c r="A28" s="2"/>
      <c r="B28" s="2" t="s">
        <v>77</v>
      </c>
      <c r="C28" s="33" t="s">
        <v>76</v>
      </c>
      <c r="D28" s="2">
        <v>40</v>
      </c>
      <c r="E28" s="2"/>
      <c r="F28" s="2"/>
      <c r="G28" s="2"/>
    </row>
    <row r="29" spans="1:7" ht="15.75" x14ac:dyDescent="0.25">
      <c r="A29" s="2"/>
      <c r="C29" s="33"/>
      <c r="D29" s="2"/>
      <c r="E29" s="2"/>
      <c r="F29" s="2"/>
      <c r="G29" s="2"/>
    </row>
    <row r="30" spans="1:7" ht="18.75" x14ac:dyDescent="0.25">
      <c r="A30" s="2"/>
      <c r="B30" s="2" t="s">
        <v>78</v>
      </c>
      <c r="C30" s="33" t="s">
        <v>76</v>
      </c>
      <c r="D30" s="2">
        <v>30</v>
      </c>
      <c r="E30" s="2"/>
      <c r="F30" s="2"/>
      <c r="G30" s="2"/>
    </row>
    <row r="31" spans="1:7" ht="15.75" x14ac:dyDescent="0.25">
      <c r="A31" s="2"/>
      <c r="B31" s="2"/>
      <c r="C31" s="33"/>
      <c r="D31" s="2"/>
      <c r="E31" s="2"/>
      <c r="F31" s="2"/>
      <c r="G31" s="2"/>
    </row>
    <row r="32" spans="1:7" ht="18.75" x14ac:dyDescent="0.25">
      <c r="A32" s="2"/>
      <c r="B32" s="2" t="s">
        <v>79</v>
      </c>
      <c r="C32" s="33" t="s">
        <v>76</v>
      </c>
      <c r="D32" s="37">
        <f>(D26+D28)/2-D30</f>
        <v>20</v>
      </c>
      <c r="E32" s="2"/>
      <c r="F32" s="2"/>
      <c r="G32" s="2"/>
    </row>
    <row r="33" spans="1:7" ht="15.75" x14ac:dyDescent="0.25">
      <c r="A33" s="2"/>
      <c r="B33" s="2"/>
      <c r="C33" s="2"/>
      <c r="D33" s="2"/>
      <c r="E33" s="2"/>
      <c r="F33" s="2"/>
      <c r="G33" s="2"/>
    </row>
    <row r="34" spans="1:7" ht="18.75" x14ac:dyDescent="0.3">
      <c r="A34" s="2"/>
      <c r="B34" s="2" t="s">
        <v>89</v>
      </c>
      <c r="C34" s="33" t="s">
        <v>30</v>
      </c>
      <c r="D34" s="45">
        <f>D7*D24*D32</f>
        <v>5952.3809523809523</v>
      </c>
      <c r="E34" s="2" t="s">
        <v>90</v>
      </c>
      <c r="F34" s="2"/>
      <c r="G34" s="2"/>
    </row>
    <row r="35" spans="1:7" ht="15.75" x14ac:dyDescent="0.25">
      <c r="A35" s="2"/>
      <c r="B35" s="2"/>
      <c r="C35" s="33"/>
      <c r="D35" s="2"/>
      <c r="E35" s="2"/>
      <c r="F35" s="2"/>
      <c r="G35" s="2"/>
    </row>
    <row r="36" spans="1:7" ht="15.75" x14ac:dyDescent="0.25">
      <c r="A36" s="2"/>
      <c r="B36" s="2" t="s">
        <v>91</v>
      </c>
      <c r="C36" s="33" t="s">
        <v>30</v>
      </c>
      <c r="D36" s="45">
        <f>D22*D34</f>
        <v>54000.000000000007</v>
      </c>
      <c r="E36" s="2" t="s">
        <v>92</v>
      </c>
      <c r="F36" s="2"/>
      <c r="G36" s="2"/>
    </row>
    <row r="37" spans="1:7" ht="15.75" x14ac:dyDescent="0.25">
      <c r="A37" s="2"/>
      <c r="B37" s="2"/>
      <c r="C37" s="2"/>
      <c r="D37" s="2"/>
      <c r="E37" s="2"/>
      <c r="F37" s="2"/>
      <c r="G37" s="2"/>
    </row>
    <row r="38" spans="1:7" ht="15.75" x14ac:dyDescent="0.25">
      <c r="A38" s="2"/>
      <c r="B38" s="2" t="s">
        <v>93</v>
      </c>
      <c r="C38" s="33" t="s">
        <v>94</v>
      </c>
      <c r="D38" s="35">
        <f>D36/(D26-D28)</f>
        <v>2700.0000000000005</v>
      </c>
      <c r="E38" s="2" t="s">
        <v>95</v>
      </c>
      <c r="F38" s="2">
        <f>2*59*60</f>
        <v>7080</v>
      </c>
      <c r="G38" s="2"/>
    </row>
    <row r="39" spans="1:7" ht="15.75" x14ac:dyDescent="0.25">
      <c r="A39" s="2"/>
      <c r="B39" s="2" t="s">
        <v>93</v>
      </c>
      <c r="C39" s="33" t="s">
        <v>96</v>
      </c>
      <c r="D39" s="36">
        <f>D38/60</f>
        <v>45.000000000000007</v>
      </c>
      <c r="E39" s="2"/>
      <c r="F39" s="2"/>
      <c r="G39" s="2"/>
    </row>
    <row r="40" spans="1:7" ht="15.75" x14ac:dyDescent="0.25">
      <c r="A40" s="2"/>
      <c r="B40" s="2" t="s">
        <v>97</v>
      </c>
      <c r="C40" s="33" t="s">
        <v>94</v>
      </c>
      <c r="D40" s="45">
        <f>D38/9</f>
        <v>300.00000000000006</v>
      </c>
      <c r="E40" s="2"/>
      <c r="F40" s="2"/>
      <c r="G40" s="2"/>
    </row>
    <row r="41" spans="1:7" ht="15.75" x14ac:dyDescent="0.25">
      <c r="A41" s="2"/>
      <c r="B41" s="2"/>
      <c r="C41" s="33"/>
      <c r="D41" s="2"/>
      <c r="E41" s="2"/>
      <c r="F41" s="2"/>
      <c r="G41" s="2"/>
    </row>
    <row r="42" spans="1:7" ht="15.75" x14ac:dyDescent="0.25">
      <c r="A42" s="2"/>
      <c r="B42" s="2" t="s">
        <v>97</v>
      </c>
      <c r="C42" s="33" t="s">
        <v>96</v>
      </c>
      <c r="D42" s="46">
        <f>D40/60</f>
        <v>5.0000000000000009</v>
      </c>
      <c r="E42" s="2"/>
      <c r="F42" s="2"/>
      <c r="G42" s="2"/>
    </row>
    <row r="43" spans="1:7" ht="15.75" x14ac:dyDescent="0.25">
      <c r="A43" s="2"/>
      <c r="B43" s="2"/>
      <c r="C43" s="33"/>
      <c r="D43" s="2"/>
      <c r="E43" s="2"/>
      <c r="F43" s="2"/>
      <c r="G43" s="2"/>
    </row>
    <row r="44" spans="1:7" ht="15.75" x14ac:dyDescent="0.25">
      <c r="A44" s="2"/>
      <c r="B44" s="2" t="s">
        <v>98</v>
      </c>
      <c r="C44" s="33" t="s">
        <v>35</v>
      </c>
      <c r="D44" s="47">
        <v>9.5</v>
      </c>
      <c r="E44" s="2"/>
      <c r="F44" s="2"/>
      <c r="G44" s="2"/>
    </row>
    <row r="45" spans="1:7" ht="15.75" x14ac:dyDescent="0.25">
      <c r="A45" s="2"/>
      <c r="B45" s="2" t="s">
        <v>98</v>
      </c>
      <c r="C45" s="33" t="s">
        <v>99</v>
      </c>
      <c r="D45" s="47">
        <f>D44/1000</f>
        <v>9.4999999999999998E-3</v>
      </c>
      <c r="E45" s="2"/>
      <c r="F45" s="2"/>
      <c r="G45" s="2"/>
    </row>
    <row r="46" spans="1:7" ht="18.75" x14ac:dyDescent="0.25">
      <c r="A46" s="2"/>
      <c r="B46" s="2" t="s">
        <v>100</v>
      </c>
      <c r="C46" s="33" t="s">
        <v>101</v>
      </c>
      <c r="D46" s="48">
        <f>3.1416*D44*D44/(4*100)</f>
        <v>0.70882350000000005</v>
      </c>
      <c r="E46" s="2"/>
      <c r="F46" s="2"/>
      <c r="G46" s="2"/>
    </row>
    <row r="47" spans="1:7" ht="15.75" x14ac:dyDescent="0.25">
      <c r="A47" s="2"/>
      <c r="B47" s="2"/>
      <c r="C47" s="33"/>
      <c r="D47" s="47"/>
      <c r="E47" s="2"/>
      <c r="F47" s="2"/>
      <c r="G47" s="2"/>
    </row>
    <row r="48" spans="1:7" ht="15.75" x14ac:dyDescent="0.25">
      <c r="A48" s="2"/>
      <c r="B48" s="2" t="s">
        <v>102</v>
      </c>
      <c r="C48" s="33" t="s">
        <v>103</v>
      </c>
      <c r="D48" s="49">
        <f>D42*1000/D46</f>
        <v>7053.9422014083912</v>
      </c>
      <c r="E48" s="2" t="s">
        <v>104</v>
      </c>
      <c r="F48" s="2"/>
      <c r="G48" s="2"/>
    </row>
    <row r="49" spans="1:7" ht="15.75" x14ac:dyDescent="0.25">
      <c r="A49" s="2"/>
      <c r="B49" s="2"/>
      <c r="C49" s="33"/>
      <c r="D49" s="47"/>
      <c r="E49" s="2"/>
      <c r="F49" s="2"/>
      <c r="G49" s="2"/>
    </row>
    <row r="50" spans="1:7" ht="15.75" x14ac:dyDescent="0.25">
      <c r="A50" s="2"/>
      <c r="B50" s="2" t="s">
        <v>102</v>
      </c>
      <c r="C50" s="33" t="s">
        <v>105</v>
      </c>
      <c r="D50" s="50">
        <f>D48/(100*60)</f>
        <v>1.1756570335680652</v>
      </c>
      <c r="E50" s="2" t="s">
        <v>106</v>
      </c>
      <c r="F50" s="2"/>
      <c r="G50" s="2"/>
    </row>
    <row r="51" spans="1:7" ht="15.75" x14ac:dyDescent="0.25">
      <c r="A51" s="2"/>
      <c r="B51" s="2"/>
      <c r="C51" s="33"/>
      <c r="D51" s="47"/>
      <c r="E51" s="2"/>
      <c r="F51" s="2"/>
      <c r="G51" s="2"/>
    </row>
    <row r="52" spans="1:7" ht="18.75" x14ac:dyDescent="0.25">
      <c r="A52" s="2"/>
      <c r="B52" s="2" t="s">
        <v>107</v>
      </c>
      <c r="C52" s="33" t="s">
        <v>108</v>
      </c>
      <c r="D52" s="51">
        <f>D40/(1000*3600)</f>
        <v>8.3333333333333344E-5</v>
      </c>
      <c r="E52" s="2"/>
      <c r="F52" s="2"/>
      <c r="G52" s="2"/>
    </row>
    <row r="53" spans="1:7" ht="15.75" x14ac:dyDescent="0.25">
      <c r="A53" s="2"/>
      <c r="B53" s="2"/>
      <c r="C53" s="33"/>
      <c r="D53" s="45"/>
      <c r="E53" s="2"/>
      <c r="F53" s="2" t="s">
        <v>109</v>
      </c>
      <c r="G53" s="2"/>
    </row>
    <row r="54" spans="1:7" ht="15.75" x14ac:dyDescent="0.25">
      <c r="A54" s="2"/>
      <c r="B54" s="2"/>
      <c r="C54" s="33"/>
      <c r="D54" s="2"/>
      <c r="E54" s="2"/>
      <c r="F54" s="2"/>
      <c r="G54" s="2"/>
    </row>
    <row r="55" spans="1:7" ht="15.75" x14ac:dyDescent="0.25">
      <c r="A55" s="2"/>
      <c r="B55" s="2"/>
      <c r="C55" s="33"/>
      <c r="D55" s="45"/>
      <c r="E55" s="2"/>
      <c r="F55" s="2"/>
      <c r="G55" s="2"/>
    </row>
    <row r="56" spans="1:7" ht="15.75" x14ac:dyDescent="0.25">
      <c r="A56" s="2"/>
      <c r="B56" s="2"/>
      <c r="C56" s="33"/>
      <c r="D56" s="2"/>
      <c r="E56" s="2"/>
      <c r="F56" s="2"/>
      <c r="G56" s="2"/>
    </row>
    <row r="57" spans="1:7" ht="15.75" x14ac:dyDescent="0.25">
      <c r="A57" s="2"/>
      <c r="B57" s="2" t="s">
        <v>110</v>
      </c>
      <c r="C57" s="33"/>
      <c r="D57" s="2">
        <f>D52/150</f>
        <v>5.5555555555555562E-7</v>
      </c>
      <c r="E57" s="52" t="s">
        <v>111</v>
      </c>
      <c r="F57" s="2"/>
      <c r="G57" s="2"/>
    </row>
    <row r="58" spans="1:7" ht="15.75" x14ac:dyDescent="0.25">
      <c r="A58" s="2"/>
      <c r="B58" s="2"/>
      <c r="C58" s="33"/>
      <c r="D58" s="2"/>
      <c r="E58" s="2"/>
      <c r="F58" s="2"/>
      <c r="G58" s="2"/>
    </row>
    <row r="59" spans="1:7" ht="18.75" x14ac:dyDescent="0.25">
      <c r="A59" s="2"/>
      <c r="B59" s="2" t="s">
        <v>112</v>
      </c>
      <c r="C59" s="33"/>
      <c r="D59" s="2">
        <f>POWER(D57,1.85)</f>
        <v>2.6776010247464801E-12</v>
      </c>
      <c r="E59" s="2"/>
      <c r="F59" s="2"/>
      <c r="G59" s="2"/>
    </row>
    <row r="60" spans="1:7" ht="15.75" x14ac:dyDescent="0.25">
      <c r="A60" s="2"/>
      <c r="B60" s="2"/>
      <c r="C60" s="33"/>
      <c r="D60" s="2"/>
      <c r="E60" s="2"/>
      <c r="F60" s="2"/>
      <c r="G60" s="2"/>
    </row>
    <row r="61" spans="1:7" ht="18.75" x14ac:dyDescent="0.25">
      <c r="A61" s="2"/>
      <c r="B61" s="2" t="s">
        <v>113</v>
      </c>
      <c r="C61" s="33"/>
      <c r="D61" s="45">
        <f>POWER(D45,-4.87)</f>
        <v>7054821702.4951658</v>
      </c>
      <c r="E61" s="2"/>
      <c r="F61" s="2"/>
      <c r="G61" s="2"/>
    </row>
    <row r="62" spans="1:7" ht="15.75" x14ac:dyDescent="0.25">
      <c r="A62" s="2"/>
      <c r="B62" s="2"/>
      <c r="C62" s="33"/>
      <c r="D62" s="2"/>
      <c r="E62" s="2"/>
      <c r="F62" s="2"/>
      <c r="G62" s="2"/>
    </row>
    <row r="63" spans="1:7" ht="15.75" x14ac:dyDescent="0.25">
      <c r="A63" s="2"/>
      <c r="B63" s="2" t="s">
        <v>155</v>
      </c>
      <c r="C63" s="33" t="s">
        <v>114</v>
      </c>
      <c r="D63" s="62">
        <f>10.643*D59*D61*D20</f>
        <v>10.052312339915535</v>
      </c>
      <c r="E63" s="2"/>
      <c r="F63" s="2" t="s">
        <v>115</v>
      </c>
      <c r="G63" s="2"/>
    </row>
    <row r="64" spans="1:7" ht="15.75" x14ac:dyDescent="0.25">
      <c r="A64" s="2"/>
      <c r="B64" s="2"/>
      <c r="C64" s="33"/>
      <c r="D64" s="2"/>
      <c r="E64" s="2"/>
      <c r="F64" s="2"/>
      <c r="G64" s="2"/>
    </row>
    <row r="65" spans="1:7" ht="15.75" x14ac:dyDescent="0.25">
      <c r="A65" s="2"/>
      <c r="B65" s="2" t="s">
        <v>116</v>
      </c>
      <c r="C65" s="33" t="s">
        <v>47</v>
      </c>
      <c r="D65" s="2">
        <v>50</v>
      </c>
      <c r="E65" s="2"/>
      <c r="F65" s="2"/>
      <c r="G65" s="2"/>
    </row>
    <row r="66" spans="1:7" ht="15.75" x14ac:dyDescent="0.25">
      <c r="A66" s="2"/>
      <c r="B66" s="2"/>
      <c r="C66" s="33"/>
      <c r="D66" s="2"/>
      <c r="E66" s="2"/>
      <c r="F66" s="2"/>
      <c r="G66" s="2"/>
    </row>
    <row r="67" spans="1:7" ht="18.75" x14ac:dyDescent="0.25">
      <c r="A67" s="2"/>
      <c r="B67" s="2" t="s">
        <v>88</v>
      </c>
      <c r="C67" s="33" t="s">
        <v>81</v>
      </c>
      <c r="D67" s="44">
        <f>D8*D65</f>
        <v>1.4880952380952379</v>
      </c>
      <c r="E67" s="2"/>
      <c r="F67" s="2"/>
      <c r="G67" s="2"/>
    </row>
    <row r="68" spans="1:7" ht="15.75" x14ac:dyDescent="0.25">
      <c r="A68" s="2"/>
      <c r="B68" s="2"/>
      <c r="C68" s="2"/>
      <c r="D68" s="2"/>
      <c r="E68" s="2"/>
      <c r="F68" s="2"/>
      <c r="G68" s="2"/>
    </row>
    <row r="69" spans="1:7" ht="18.75" x14ac:dyDescent="0.25">
      <c r="A69" s="2"/>
      <c r="B69" s="2" t="s">
        <v>75</v>
      </c>
      <c r="C69" s="33" t="s">
        <v>76</v>
      </c>
      <c r="D69" s="2">
        <v>60</v>
      </c>
      <c r="E69" s="2"/>
      <c r="F69" s="2"/>
      <c r="G69" s="2"/>
    </row>
    <row r="70" spans="1:7" ht="15.75" x14ac:dyDescent="0.25">
      <c r="A70" s="2"/>
      <c r="C70" s="38"/>
      <c r="E70" s="2"/>
      <c r="F70" s="2"/>
      <c r="G70" s="2"/>
    </row>
    <row r="71" spans="1:7" ht="18.75" x14ac:dyDescent="0.25">
      <c r="A71" s="2"/>
      <c r="B71" s="2" t="s">
        <v>77</v>
      </c>
      <c r="C71" s="33" t="s">
        <v>76</v>
      </c>
      <c r="D71" s="2">
        <v>40</v>
      </c>
      <c r="E71" s="2"/>
      <c r="F71" s="2"/>
      <c r="G71" s="2"/>
    </row>
    <row r="72" spans="1:7" ht="15.75" x14ac:dyDescent="0.25">
      <c r="A72" s="2"/>
      <c r="C72" s="33"/>
      <c r="D72" s="2"/>
      <c r="E72" s="2"/>
      <c r="F72" s="2"/>
      <c r="G72" s="2"/>
    </row>
    <row r="73" spans="1:7" ht="18.75" x14ac:dyDescent="0.25">
      <c r="A73" s="2"/>
      <c r="B73" s="2" t="s">
        <v>78</v>
      </c>
      <c r="C73" s="33" t="s">
        <v>76</v>
      </c>
      <c r="D73" s="2">
        <v>30</v>
      </c>
      <c r="E73" s="2"/>
      <c r="F73" s="2"/>
      <c r="G73" s="2"/>
    </row>
    <row r="74" spans="1:7" ht="15.75" x14ac:dyDescent="0.25">
      <c r="A74" s="2"/>
      <c r="B74" s="2"/>
      <c r="C74" s="33"/>
      <c r="D74" s="2"/>
      <c r="E74" s="2"/>
      <c r="F74" s="2"/>
      <c r="G74" s="2"/>
    </row>
    <row r="75" spans="1:7" ht="18.75" x14ac:dyDescent="0.25">
      <c r="A75" s="2"/>
      <c r="B75" s="2" t="s">
        <v>79</v>
      </c>
      <c r="C75" s="33" t="s">
        <v>76</v>
      </c>
      <c r="D75" s="37">
        <f>(D69+D71)/2-D73</f>
        <v>20</v>
      </c>
      <c r="E75" s="2"/>
      <c r="F75" s="2"/>
      <c r="G75" s="2"/>
    </row>
    <row r="76" spans="1:7" ht="15.75" x14ac:dyDescent="0.25">
      <c r="A76" s="2"/>
      <c r="B76" s="2"/>
      <c r="C76" s="2"/>
      <c r="D76" s="2"/>
      <c r="E76" s="2"/>
      <c r="F76" s="2"/>
      <c r="G76" s="2"/>
    </row>
    <row r="77" spans="1:7" ht="15.75" x14ac:dyDescent="0.25">
      <c r="A77" s="2"/>
      <c r="B77" s="2" t="s">
        <v>89</v>
      </c>
      <c r="C77" s="33" t="s">
        <v>30</v>
      </c>
      <c r="D77" s="45">
        <f>D7*D67*D75</f>
        <v>5952.3809523809523</v>
      </c>
      <c r="E77" s="2"/>
      <c r="F77" s="2"/>
      <c r="G77" s="2"/>
    </row>
    <row r="78" spans="1:7" ht="15.75" x14ac:dyDescent="0.25">
      <c r="A78" s="2"/>
      <c r="B78" s="2"/>
      <c r="C78" s="33"/>
      <c r="D78" s="2"/>
      <c r="E78" s="2"/>
      <c r="F78" s="2"/>
      <c r="G78" s="2"/>
    </row>
    <row r="79" spans="1:7" ht="15.75" x14ac:dyDescent="0.25">
      <c r="A79" s="2"/>
      <c r="B79" s="2" t="s">
        <v>91</v>
      </c>
      <c r="C79" s="33" t="s">
        <v>30</v>
      </c>
      <c r="D79" s="45">
        <f>D22*D77</f>
        <v>54000.000000000007</v>
      </c>
      <c r="E79" s="2" t="s">
        <v>92</v>
      </c>
      <c r="F79" s="2"/>
      <c r="G79" s="2"/>
    </row>
    <row r="80" spans="1:7" ht="15.75" x14ac:dyDescent="0.25">
      <c r="A80" s="2"/>
      <c r="B80" s="2"/>
      <c r="C80" s="2"/>
      <c r="D80" s="2"/>
      <c r="E80" s="2"/>
      <c r="F80" s="2"/>
      <c r="G80" s="2"/>
    </row>
    <row r="81" spans="1:7" ht="15.75" x14ac:dyDescent="0.25">
      <c r="A81" s="2"/>
      <c r="B81" s="2"/>
      <c r="C81" s="2"/>
      <c r="D81" s="2"/>
      <c r="E81" s="2"/>
      <c r="F81" s="2"/>
      <c r="G81" s="2"/>
    </row>
    <row r="82" spans="1:7" ht="18.75" x14ac:dyDescent="0.25">
      <c r="B82" s="2" t="s">
        <v>117</v>
      </c>
      <c r="C82" s="38" t="s">
        <v>118</v>
      </c>
      <c r="D82" s="47">
        <v>59</v>
      </c>
      <c r="E82" s="47"/>
    </row>
    <row r="83" spans="1:7" ht="18.75" x14ac:dyDescent="0.25">
      <c r="B83" s="2" t="s">
        <v>119</v>
      </c>
      <c r="C83" s="38" t="s">
        <v>118</v>
      </c>
      <c r="D83" s="53">
        <f>D82*2</f>
        <v>118</v>
      </c>
      <c r="E83" s="47"/>
    </row>
    <row r="84" spans="1:7" ht="18.75" x14ac:dyDescent="0.25">
      <c r="B84" s="2" t="s">
        <v>119</v>
      </c>
      <c r="C84" s="38" t="s">
        <v>120</v>
      </c>
      <c r="D84" s="47">
        <f>D83*60</f>
        <v>7080</v>
      </c>
      <c r="E84" s="47"/>
    </row>
    <row r="85" spans="1:7" x14ac:dyDescent="0.25">
      <c r="B85" s="47"/>
      <c r="C85" s="38"/>
      <c r="D85" s="47"/>
      <c r="E85" s="47"/>
    </row>
    <row r="86" spans="1:7" x14ac:dyDescent="0.25">
      <c r="B86" s="47"/>
      <c r="C86" s="38"/>
      <c r="D86" s="47"/>
      <c r="E86" s="47"/>
    </row>
    <row r="87" spans="1:7" x14ac:dyDescent="0.25">
      <c r="B87" s="47" t="s">
        <v>157</v>
      </c>
      <c r="C87" s="38" t="s">
        <v>120</v>
      </c>
      <c r="D87" s="54">
        <v>5000</v>
      </c>
      <c r="E87" s="47"/>
    </row>
    <row r="88" spans="1:7" x14ac:dyDescent="0.25">
      <c r="B88" s="47"/>
      <c r="C88" s="47"/>
      <c r="D88" s="53"/>
      <c r="E88" s="47"/>
    </row>
    <row r="89" spans="1:7" x14ac:dyDescent="0.25">
      <c r="B89" s="47" t="s">
        <v>121</v>
      </c>
      <c r="C89" s="38" t="s">
        <v>114</v>
      </c>
      <c r="D89" s="53">
        <v>15</v>
      </c>
      <c r="E89" s="47"/>
    </row>
    <row r="90" spans="1:7" x14ac:dyDescent="0.25">
      <c r="B90" s="47"/>
      <c r="C90" s="47"/>
      <c r="D90" s="47"/>
      <c r="E90" s="47"/>
    </row>
    <row r="91" spans="1:7" ht="15.75" x14ac:dyDescent="0.25">
      <c r="B91" s="2"/>
      <c r="C91" s="47"/>
      <c r="D91" s="47"/>
      <c r="E91" s="47"/>
    </row>
    <row r="92" spans="1:7" x14ac:dyDescent="0.25">
      <c r="B92" s="47"/>
      <c r="C92" s="47"/>
      <c r="D92" s="47"/>
      <c r="E92" s="47"/>
    </row>
    <row r="93" spans="1:7" x14ac:dyDescent="0.25">
      <c r="B93" s="47"/>
      <c r="C93" s="47"/>
      <c r="D93" s="47"/>
      <c r="E93" s="47"/>
    </row>
    <row r="94" spans="1:7" x14ac:dyDescent="0.25">
      <c r="B94" s="47"/>
      <c r="C94" s="47"/>
      <c r="D94" s="47"/>
      <c r="E94" s="47"/>
    </row>
    <row r="95" spans="1:7" x14ac:dyDescent="0.25">
      <c r="B95" s="47"/>
      <c r="C95" s="47"/>
      <c r="D95" s="47"/>
      <c r="E95" s="47"/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6" workbookViewId="0">
      <selection activeCell="E47" sqref="E47"/>
    </sheetView>
  </sheetViews>
  <sheetFormatPr defaultRowHeight="15" x14ac:dyDescent="0.25"/>
  <cols>
    <col min="1" max="1" width="5.42578125" customWidth="1"/>
    <col min="2" max="2" width="64" customWidth="1"/>
    <col min="3" max="3" width="12.7109375" customWidth="1"/>
    <col min="4" max="4" width="16.5703125" customWidth="1"/>
    <col min="5" max="5" width="79.42578125" customWidth="1"/>
  </cols>
  <sheetData>
    <row r="1" spans="1:7" ht="18" x14ac:dyDescent="0.25">
      <c r="A1" s="55" t="s">
        <v>67</v>
      </c>
      <c r="B1" s="2"/>
      <c r="C1" s="2"/>
      <c r="D1" s="2"/>
      <c r="E1" s="2"/>
      <c r="F1" s="2"/>
      <c r="G1" s="2"/>
    </row>
    <row r="2" spans="1:7" ht="15.75" x14ac:dyDescent="0.25">
      <c r="A2" s="2"/>
      <c r="B2" s="2"/>
      <c r="C2" s="2"/>
      <c r="D2" s="2"/>
      <c r="E2" s="2"/>
      <c r="F2" s="2"/>
      <c r="G2" s="2"/>
    </row>
    <row r="3" spans="1:7" ht="15.75" x14ac:dyDescent="0.25">
      <c r="A3" s="3" t="s">
        <v>123</v>
      </c>
      <c r="B3" s="2"/>
      <c r="C3" s="2"/>
      <c r="D3" s="2"/>
      <c r="E3" s="2"/>
      <c r="F3" s="2"/>
      <c r="G3" s="2"/>
    </row>
    <row r="4" spans="1:7" ht="15.75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2"/>
      <c r="C5" s="2"/>
      <c r="D5" s="2"/>
      <c r="E5" s="2"/>
      <c r="F5" s="2"/>
      <c r="G5" s="2"/>
    </row>
    <row r="6" spans="1:7" ht="15.75" x14ac:dyDescent="0.25">
      <c r="A6" s="2"/>
      <c r="B6" s="32" t="s">
        <v>4</v>
      </c>
      <c r="C6" s="32" t="s">
        <v>5</v>
      </c>
      <c r="D6" s="32" t="s">
        <v>6</v>
      </c>
      <c r="E6" s="32" t="s">
        <v>68</v>
      </c>
      <c r="F6" s="2"/>
      <c r="G6" s="2"/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"/>
      <c r="B9" s="2" t="s">
        <v>124</v>
      </c>
      <c r="C9" s="33" t="s">
        <v>127</v>
      </c>
      <c r="D9" s="2">
        <v>0.5</v>
      </c>
      <c r="E9" s="2" t="s">
        <v>128</v>
      </c>
      <c r="F9" s="2"/>
      <c r="G9" s="2"/>
    </row>
    <row r="10" spans="1:7" ht="15.75" x14ac:dyDescent="0.25">
      <c r="A10" s="2"/>
      <c r="B10" s="2"/>
      <c r="C10" s="33"/>
      <c r="D10" s="2"/>
      <c r="E10" s="2"/>
      <c r="F10" s="2"/>
      <c r="G10" s="2"/>
    </row>
    <row r="11" spans="1:7" ht="18.75" x14ac:dyDescent="0.25">
      <c r="A11" s="2"/>
      <c r="B11" s="2" t="s">
        <v>125</v>
      </c>
      <c r="C11" s="33"/>
      <c r="D11" s="2"/>
      <c r="E11" s="2" t="s">
        <v>126</v>
      </c>
      <c r="F11" s="2"/>
      <c r="G11" s="2"/>
    </row>
    <row r="12" spans="1:7" ht="15.75" x14ac:dyDescent="0.25">
      <c r="A12" s="2"/>
      <c r="B12" s="2"/>
      <c r="C12" s="33"/>
      <c r="D12" s="2"/>
      <c r="E12" s="2"/>
      <c r="F12" s="2"/>
      <c r="G12" s="2"/>
    </row>
    <row r="13" spans="1:7" ht="15.75" x14ac:dyDescent="0.25">
      <c r="A13" s="2"/>
      <c r="B13" s="2" t="s">
        <v>143</v>
      </c>
      <c r="C13" s="33" t="s">
        <v>35</v>
      </c>
      <c r="D13" s="2">
        <v>18</v>
      </c>
      <c r="E13" s="2"/>
      <c r="F13" s="2"/>
      <c r="G13" s="2"/>
    </row>
    <row r="14" spans="1:7" ht="15.75" x14ac:dyDescent="0.25">
      <c r="A14" s="2"/>
      <c r="B14" s="2"/>
      <c r="C14" s="33"/>
      <c r="D14" s="2"/>
      <c r="E14" s="2"/>
      <c r="F14" s="2"/>
      <c r="G14" s="2"/>
    </row>
    <row r="15" spans="1:7" ht="15.75" x14ac:dyDescent="0.25">
      <c r="A15" s="2"/>
      <c r="B15" s="2" t="s">
        <v>129</v>
      </c>
      <c r="C15" s="33" t="s">
        <v>105</v>
      </c>
      <c r="D15" s="2">
        <v>0.4</v>
      </c>
      <c r="E15" s="2"/>
      <c r="F15" s="2"/>
      <c r="G15" s="2"/>
    </row>
    <row r="16" spans="1:7" ht="15.75" x14ac:dyDescent="0.25">
      <c r="A16" s="2"/>
      <c r="B16" s="2"/>
      <c r="C16" s="33"/>
      <c r="D16" s="2"/>
      <c r="E16" s="2"/>
      <c r="F16" s="2"/>
      <c r="G16" s="2"/>
    </row>
    <row r="17" spans="1:7" ht="15.75" x14ac:dyDescent="0.25">
      <c r="A17" s="2"/>
      <c r="B17" s="2" t="s">
        <v>130</v>
      </c>
      <c r="C17" s="33" t="s">
        <v>131</v>
      </c>
      <c r="D17" s="2">
        <v>0.09</v>
      </c>
      <c r="E17" s="2"/>
      <c r="F17" s="2"/>
      <c r="G17" s="2"/>
    </row>
    <row r="18" spans="1:7" ht="15.75" x14ac:dyDescent="0.25">
      <c r="A18" s="2"/>
      <c r="B18" s="2"/>
      <c r="C18" s="33"/>
      <c r="D18" s="2"/>
      <c r="E18" s="2"/>
      <c r="F18" s="2"/>
      <c r="G18" s="2"/>
    </row>
    <row r="19" spans="1:7" ht="15.75" x14ac:dyDescent="0.25">
      <c r="A19" s="2"/>
      <c r="B19" s="2" t="s">
        <v>132</v>
      </c>
      <c r="C19" s="33" t="s">
        <v>120</v>
      </c>
      <c r="D19" s="2">
        <f>D17*3600</f>
        <v>324</v>
      </c>
      <c r="E19" s="2"/>
      <c r="F19" s="2"/>
      <c r="G19" s="2"/>
    </row>
    <row r="20" spans="1:7" ht="15.75" x14ac:dyDescent="0.25">
      <c r="A20" s="2"/>
      <c r="B20" s="2"/>
      <c r="C20" s="33"/>
      <c r="D20" s="2"/>
      <c r="E20" s="2"/>
      <c r="F20" s="2"/>
      <c r="G20" s="2"/>
    </row>
    <row r="21" spans="1:7" ht="15.75" x14ac:dyDescent="0.25">
      <c r="A21" s="2"/>
      <c r="B21" s="2" t="s">
        <v>133</v>
      </c>
      <c r="C21" s="33" t="s">
        <v>136</v>
      </c>
      <c r="D21" s="2">
        <v>15.95</v>
      </c>
      <c r="E21" s="2"/>
      <c r="F21" s="2"/>
      <c r="G21" s="2"/>
    </row>
    <row r="22" spans="1:7" ht="15.75" x14ac:dyDescent="0.25">
      <c r="A22" s="2"/>
      <c r="B22" s="2"/>
      <c r="C22" s="33"/>
      <c r="D22" s="2"/>
      <c r="E22" s="2"/>
      <c r="F22" s="2"/>
      <c r="G22" s="2"/>
    </row>
    <row r="23" spans="1:7" ht="15.75" x14ac:dyDescent="0.25">
      <c r="A23" s="2"/>
      <c r="B23" s="2" t="s">
        <v>134</v>
      </c>
      <c r="C23" s="33" t="s">
        <v>120</v>
      </c>
      <c r="D23" s="57">
        <v>1500</v>
      </c>
      <c r="E23" s="2"/>
      <c r="F23" s="2"/>
      <c r="G23" s="2"/>
    </row>
    <row r="24" spans="1:7" ht="15.75" x14ac:dyDescent="0.25">
      <c r="A24" s="2"/>
      <c r="B24" s="2"/>
      <c r="C24" s="33"/>
      <c r="D24" s="2"/>
      <c r="E24" s="2"/>
      <c r="F24" s="2"/>
      <c r="G24" s="2"/>
    </row>
    <row r="25" spans="1:7" ht="15.75" x14ac:dyDescent="0.25">
      <c r="A25" s="2"/>
      <c r="B25" s="2" t="s">
        <v>135</v>
      </c>
      <c r="C25" s="33" t="s">
        <v>105</v>
      </c>
      <c r="D25" s="56">
        <f>D15*D23/D19</f>
        <v>1.8518518518518519</v>
      </c>
      <c r="E25" s="2"/>
      <c r="F25" s="2"/>
      <c r="G25" s="2"/>
    </row>
    <row r="26" spans="1:7" ht="15.75" x14ac:dyDescent="0.25">
      <c r="A26" s="2"/>
      <c r="B26" s="2"/>
      <c r="C26" s="33"/>
      <c r="D26" s="2"/>
      <c r="E26" s="2"/>
      <c r="F26" s="2"/>
      <c r="G26" s="2"/>
    </row>
    <row r="27" spans="1:7" ht="15.75" x14ac:dyDescent="0.25">
      <c r="A27" s="2"/>
      <c r="B27" s="2" t="s">
        <v>137</v>
      </c>
      <c r="C27" s="33" t="s">
        <v>136</v>
      </c>
      <c r="D27" s="58">
        <f>D21*(D25/D15)*(D25/D15)</f>
        <v>341.86385459533608</v>
      </c>
      <c r="E27" s="2"/>
      <c r="F27" s="2"/>
      <c r="G27" s="2"/>
    </row>
    <row r="28" spans="1:7" ht="15.75" x14ac:dyDescent="0.25">
      <c r="A28" s="2"/>
      <c r="B28" s="2"/>
      <c r="C28" s="33"/>
      <c r="D28" s="2"/>
      <c r="E28" s="2"/>
      <c r="F28" s="2"/>
      <c r="G28" s="2"/>
    </row>
    <row r="29" spans="1:7" ht="15.75" x14ac:dyDescent="0.25">
      <c r="A29" s="2"/>
      <c r="B29" s="2" t="s">
        <v>138</v>
      </c>
      <c r="C29" s="33" t="s">
        <v>47</v>
      </c>
      <c r="D29" s="2">
        <v>48</v>
      </c>
      <c r="E29" s="2"/>
      <c r="F29" s="2"/>
      <c r="G29" s="2"/>
    </row>
    <row r="30" spans="1:7" ht="15.75" x14ac:dyDescent="0.25">
      <c r="A30" s="2"/>
      <c r="B30" s="2"/>
      <c r="C30" s="33"/>
      <c r="D30" s="2"/>
      <c r="E30" s="2"/>
      <c r="F30" s="2"/>
      <c r="G30" s="2"/>
    </row>
    <row r="31" spans="1:7" ht="15.75" x14ac:dyDescent="0.25">
      <c r="A31" s="2"/>
      <c r="B31" s="2" t="s">
        <v>139</v>
      </c>
      <c r="C31" s="33" t="s">
        <v>47</v>
      </c>
      <c r="D31" s="3">
        <v>106</v>
      </c>
      <c r="E31" s="2"/>
      <c r="F31" s="2"/>
      <c r="G31" s="2"/>
    </row>
    <row r="32" spans="1:7" ht="15.75" x14ac:dyDescent="0.25">
      <c r="A32" s="2"/>
      <c r="B32" s="2"/>
      <c r="C32" s="33"/>
      <c r="D32" s="2"/>
      <c r="E32" s="2"/>
      <c r="F32" s="2"/>
      <c r="G32" s="2"/>
    </row>
    <row r="33" spans="1:7" ht="15.75" x14ac:dyDescent="0.25">
      <c r="A33" s="2"/>
      <c r="B33" s="2" t="s">
        <v>140</v>
      </c>
      <c r="C33" s="33" t="s">
        <v>114</v>
      </c>
      <c r="D33" s="58">
        <f>D27*D31/1000</f>
        <v>36.237568587105628</v>
      </c>
      <c r="E33" s="2"/>
      <c r="F33" s="2"/>
      <c r="G33" s="2"/>
    </row>
    <row r="34" spans="1:7" ht="15.75" x14ac:dyDescent="0.25">
      <c r="A34" s="2"/>
      <c r="B34" s="2"/>
      <c r="C34" s="33"/>
      <c r="D34" s="2"/>
      <c r="E34" s="2"/>
      <c r="F34" s="2"/>
      <c r="G34" s="2"/>
    </row>
    <row r="35" spans="1:7" ht="15.75" x14ac:dyDescent="0.25">
      <c r="A35" s="2"/>
      <c r="B35" s="2" t="s">
        <v>141</v>
      </c>
      <c r="C35" s="33" t="s">
        <v>114</v>
      </c>
      <c r="D35" s="3">
        <v>10</v>
      </c>
      <c r="E35" s="2"/>
      <c r="F35" s="2"/>
      <c r="G35" s="2"/>
    </row>
    <row r="36" spans="1:7" ht="15.75" x14ac:dyDescent="0.25">
      <c r="A36" s="2"/>
      <c r="B36" s="2"/>
      <c r="C36" s="33"/>
      <c r="D36" s="2"/>
      <c r="E36" s="2"/>
      <c r="F36" s="2"/>
      <c r="G36" s="2"/>
    </row>
    <row r="37" spans="1:7" ht="15.75" x14ac:dyDescent="0.25">
      <c r="A37" s="2"/>
      <c r="B37" s="3" t="s">
        <v>145</v>
      </c>
      <c r="C37" s="32" t="s">
        <v>114</v>
      </c>
      <c r="D37" s="58">
        <f>SUM(D33:D36)</f>
        <v>46.237568587105628</v>
      </c>
      <c r="E37" s="2" t="s">
        <v>153</v>
      </c>
      <c r="F37" s="2"/>
      <c r="G37" s="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9" workbookViewId="0">
      <selection activeCell="E10" sqref="E10"/>
    </sheetView>
  </sheetViews>
  <sheetFormatPr defaultRowHeight="15" x14ac:dyDescent="0.25"/>
  <cols>
    <col min="1" max="1" width="5.28515625" customWidth="1"/>
    <col min="2" max="2" width="63.28515625" customWidth="1"/>
    <col min="3" max="3" width="14.42578125" customWidth="1"/>
    <col min="4" max="4" width="10.140625" customWidth="1"/>
    <col min="5" max="5" width="68.5703125" customWidth="1"/>
  </cols>
  <sheetData>
    <row r="1" spans="1:5" ht="18" x14ac:dyDescent="0.25">
      <c r="A1" s="55" t="s">
        <v>67</v>
      </c>
      <c r="B1" s="2"/>
      <c r="C1" s="2"/>
      <c r="D1" s="2"/>
      <c r="E1" s="2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3" t="s">
        <v>123</v>
      </c>
      <c r="B3" s="2"/>
      <c r="C3" s="2"/>
      <c r="D3" s="2"/>
      <c r="E3" s="2"/>
    </row>
    <row r="4" spans="1:5" ht="15.75" x14ac:dyDescent="0.25">
      <c r="A4" s="2"/>
      <c r="B4" s="2"/>
      <c r="C4" s="2"/>
      <c r="D4" s="2"/>
      <c r="E4" s="2"/>
    </row>
    <row r="5" spans="1:5" ht="15.75" x14ac:dyDescent="0.25">
      <c r="A5" s="2"/>
      <c r="B5" s="2"/>
      <c r="C5" s="2"/>
      <c r="D5" s="2"/>
      <c r="E5" s="2"/>
    </row>
    <row r="6" spans="1:5" ht="15.75" x14ac:dyDescent="0.25">
      <c r="A6" s="2"/>
      <c r="B6" s="32" t="s">
        <v>4</v>
      </c>
      <c r="C6" s="32" t="s">
        <v>5</v>
      </c>
      <c r="D6" s="32" t="s">
        <v>6</v>
      </c>
      <c r="E6" s="32" t="s">
        <v>68</v>
      </c>
    </row>
    <row r="7" spans="1:5" ht="15.75" x14ac:dyDescent="0.25">
      <c r="A7" s="2"/>
      <c r="B7" s="2"/>
      <c r="C7" s="2"/>
      <c r="D7" s="2"/>
      <c r="E7" s="2"/>
    </row>
    <row r="8" spans="1:5" ht="15.75" x14ac:dyDescent="0.25">
      <c r="A8" s="2"/>
      <c r="B8" s="2"/>
      <c r="C8" s="2"/>
      <c r="D8" s="2"/>
      <c r="E8" s="2"/>
    </row>
    <row r="9" spans="1:5" ht="15.75" x14ac:dyDescent="0.25">
      <c r="A9" s="2"/>
      <c r="B9" s="2" t="s">
        <v>124</v>
      </c>
      <c r="C9" s="33" t="s">
        <v>127</v>
      </c>
      <c r="D9" s="2">
        <v>0.5</v>
      </c>
      <c r="E9" s="2" t="s">
        <v>128</v>
      </c>
    </row>
    <row r="10" spans="1:5" ht="15.75" x14ac:dyDescent="0.25">
      <c r="A10" s="2"/>
      <c r="B10" s="2"/>
      <c r="C10" s="33"/>
      <c r="D10" s="2"/>
      <c r="E10" s="2"/>
    </row>
    <row r="11" spans="1:5" ht="18.75" x14ac:dyDescent="0.25">
      <c r="A11" s="2"/>
      <c r="B11" s="2" t="s">
        <v>144</v>
      </c>
      <c r="C11" s="33"/>
      <c r="D11" s="2"/>
      <c r="E11" s="2" t="s">
        <v>126</v>
      </c>
    </row>
    <row r="12" spans="1:5" ht="15.75" x14ac:dyDescent="0.25">
      <c r="A12" s="2"/>
      <c r="B12" s="2"/>
      <c r="C12" s="33"/>
      <c r="D12" s="2"/>
      <c r="E12" s="2"/>
    </row>
    <row r="13" spans="1:5" ht="15.75" x14ac:dyDescent="0.25">
      <c r="A13" s="2"/>
      <c r="B13" s="2" t="s">
        <v>142</v>
      </c>
      <c r="C13" s="33" t="s">
        <v>35</v>
      </c>
      <c r="D13" s="2">
        <v>23</v>
      </c>
      <c r="E13" s="2"/>
    </row>
    <row r="14" spans="1:5" ht="15.75" x14ac:dyDescent="0.25">
      <c r="A14" s="2"/>
      <c r="B14" s="2"/>
      <c r="C14" s="33"/>
      <c r="D14" s="2"/>
      <c r="E14" s="2"/>
    </row>
    <row r="15" spans="1:5" ht="15.75" x14ac:dyDescent="0.25">
      <c r="A15" s="2"/>
      <c r="B15" s="2" t="s">
        <v>129</v>
      </c>
      <c r="C15" s="33" t="s">
        <v>105</v>
      </c>
      <c r="D15" s="2">
        <v>0.4</v>
      </c>
      <c r="E15" s="2"/>
    </row>
    <row r="16" spans="1:5" ht="15.75" x14ac:dyDescent="0.25">
      <c r="A16" s="2"/>
      <c r="B16" s="2"/>
      <c r="C16" s="33"/>
      <c r="D16" s="2"/>
      <c r="E16" s="2"/>
    </row>
    <row r="17" spans="1:5" ht="15.75" x14ac:dyDescent="0.25">
      <c r="A17" s="2"/>
      <c r="B17" s="2" t="s">
        <v>130</v>
      </c>
      <c r="C17" s="33" t="s">
        <v>131</v>
      </c>
      <c r="D17" s="2">
        <v>0.14000000000000001</v>
      </c>
      <c r="E17" s="2"/>
    </row>
    <row r="18" spans="1:5" ht="15.75" x14ac:dyDescent="0.25">
      <c r="A18" s="2"/>
      <c r="B18" s="2"/>
      <c r="C18" s="33"/>
      <c r="D18" s="2"/>
      <c r="E18" s="2"/>
    </row>
    <row r="19" spans="1:5" ht="15.75" x14ac:dyDescent="0.25">
      <c r="A19" s="2"/>
      <c r="B19" s="2" t="s">
        <v>132</v>
      </c>
      <c r="C19" s="33" t="s">
        <v>120</v>
      </c>
      <c r="D19" s="2">
        <f>D17*3600</f>
        <v>504.00000000000006</v>
      </c>
      <c r="E19" s="2"/>
    </row>
    <row r="20" spans="1:5" ht="15.75" x14ac:dyDescent="0.25">
      <c r="A20" s="2"/>
      <c r="B20" s="2"/>
      <c r="C20" s="33"/>
      <c r="D20" s="2"/>
      <c r="E20" s="2"/>
    </row>
    <row r="21" spans="1:5" ht="15.75" x14ac:dyDescent="0.25">
      <c r="A21" s="2"/>
      <c r="B21" s="2" t="s">
        <v>133</v>
      </c>
      <c r="C21" s="33" t="s">
        <v>136</v>
      </c>
      <c r="D21" s="2">
        <v>11.59</v>
      </c>
      <c r="E21" s="2"/>
    </row>
    <row r="22" spans="1:5" ht="15.75" x14ac:dyDescent="0.25">
      <c r="A22" s="2"/>
      <c r="B22" s="2"/>
      <c r="C22" s="33"/>
      <c r="D22" s="2"/>
      <c r="E22" s="2"/>
    </row>
    <row r="23" spans="1:5" ht="15.75" x14ac:dyDescent="0.25">
      <c r="A23" s="2"/>
      <c r="B23" s="2" t="s">
        <v>134</v>
      </c>
      <c r="C23" s="33" t="s">
        <v>120</v>
      </c>
      <c r="D23" s="57">
        <v>1500</v>
      </c>
      <c r="E23" s="2"/>
    </row>
    <row r="24" spans="1:5" ht="15.75" x14ac:dyDescent="0.25">
      <c r="A24" s="2"/>
      <c r="B24" s="2"/>
      <c r="C24" s="33"/>
      <c r="D24" s="2"/>
      <c r="E24" s="2"/>
    </row>
    <row r="25" spans="1:5" ht="15.75" x14ac:dyDescent="0.25">
      <c r="A25" s="2"/>
      <c r="B25" s="2" t="s">
        <v>135</v>
      </c>
      <c r="C25" s="33" t="s">
        <v>105</v>
      </c>
      <c r="D25" s="60">
        <f>D15*D23/D19</f>
        <v>1.1904761904761902</v>
      </c>
      <c r="E25" s="2"/>
    </row>
    <row r="26" spans="1:5" ht="15.75" x14ac:dyDescent="0.25">
      <c r="A26" s="2"/>
      <c r="B26" s="2"/>
      <c r="C26" s="33"/>
      <c r="D26" s="2"/>
      <c r="E26" s="2"/>
    </row>
    <row r="27" spans="1:5" ht="15.75" x14ac:dyDescent="0.25">
      <c r="A27" s="2"/>
      <c r="B27" s="2" t="s">
        <v>137</v>
      </c>
      <c r="C27" s="33" t="s">
        <v>136</v>
      </c>
      <c r="D27" s="58">
        <f>D21*(D25/D15)*(D25/D15)</f>
        <v>102.66085600907023</v>
      </c>
      <c r="E27" s="2"/>
    </row>
    <row r="28" spans="1:5" ht="15.75" x14ac:dyDescent="0.25">
      <c r="A28" s="2"/>
      <c r="B28" s="2"/>
      <c r="C28" s="33"/>
      <c r="D28" s="2"/>
      <c r="E28" s="2"/>
    </row>
    <row r="29" spans="1:5" ht="15.75" x14ac:dyDescent="0.25">
      <c r="A29" s="2"/>
      <c r="B29" s="2" t="s">
        <v>138</v>
      </c>
      <c r="C29" s="33" t="s">
        <v>47</v>
      </c>
      <c r="D29" s="2">
        <v>48</v>
      </c>
      <c r="E29" s="2"/>
    </row>
    <row r="30" spans="1:5" ht="15.75" x14ac:dyDescent="0.25">
      <c r="A30" s="2"/>
      <c r="B30" s="2"/>
      <c r="C30" s="33"/>
      <c r="D30" s="2"/>
      <c r="E30" s="2"/>
    </row>
    <row r="31" spans="1:5" ht="15.75" x14ac:dyDescent="0.25">
      <c r="A31" s="2"/>
      <c r="B31" s="2" t="s">
        <v>139</v>
      </c>
      <c r="C31" s="33" t="s">
        <v>47</v>
      </c>
      <c r="D31" s="3">
        <v>106</v>
      </c>
      <c r="E31" s="2"/>
    </row>
    <row r="32" spans="1:5" ht="15.75" x14ac:dyDescent="0.25">
      <c r="A32" s="2"/>
      <c r="B32" s="2"/>
      <c r="C32" s="33"/>
      <c r="D32" s="2"/>
      <c r="E32" s="2"/>
    </row>
    <row r="33" spans="1:5" ht="15.75" x14ac:dyDescent="0.25">
      <c r="A33" s="2"/>
      <c r="B33" s="2" t="s">
        <v>140</v>
      </c>
      <c r="C33" s="33" t="s">
        <v>114</v>
      </c>
      <c r="D33" s="58">
        <f>D27*D31/1000</f>
        <v>10.882050736961444</v>
      </c>
      <c r="E33" s="2"/>
    </row>
    <row r="34" spans="1:5" ht="15.75" x14ac:dyDescent="0.25">
      <c r="A34" s="2"/>
      <c r="B34" s="2"/>
      <c r="C34" s="33"/>
      <c r="D34" s="2"/>
      <c r="E34" s="2"/>
    </row>
    <row r="35" spans="1:5" ht="15.75" x14ac:dyDescent="0.25">
      <c r="A35" s="2"/>
      <c r="B35" s="2" t="s">
        <v>141</v>
      </c>
      <c r="C35" s="33" t="s">
        <v>114</v>
      </c>
      <c r="D35" s="3">
        <v>10</v>
      </c>
      <c r="E35" s="2"/>
    </row>
    <row r="36" spans="1:5" ht="15.75" x14ac:dyDescent="0.25">
      <c r="A36" s="2"/>
      <c r="B36" s="2"/>
      <c r="C36" s="33"/>
      <c r="D36" s="2"/>
      <c r="E36" s="2"/>
    </row>
    <row r="37" spans="1:5" ht="15.75" x14ac:dyDescent="0.25">
      <c r="A37" s="2"/>
      <c r="B37" s="3" t="s">
        <v>146</v>
      </c>
      <c r="C37" s="32" t="s">
        <v>114</v>
      </c>
      <c r="D37" s="58">
        <f>SUM(D33:D36)</f>
        <v>20.882050736961446</v>
      </c>
      <c r="E37" s="2" t="s">
        <v>154</v>
      </c>
    </row>
    <row r="38" spans="1:5" ht="15.75" x14ac:dyDescent="0.25">
      <c r="A38" s="2"/>
      <c r="B38" s="3"/>
      <c r="C38" s="32"/>
      <c r="D38" s="58"/>
      <c r="E38" s="2"/>
    </row>
    <row r="39" spans="1:5" ht="17.25" x14ac:dyDescent="0.25">
      <c r="B39" s="47" t="s">
        <v>149</v>
      </c>
      <c r="C39" s="47"/>
      <c r="D39" s="47"/>
    </row>
    <row r="40" spans="1:5" x14ac:dyDescent="0.25">
      <c r="B40" s="47" t="s">
        <v>156</v>
      </c>
      <c r="C40" s="47" t="s">
        <v>105</v>
      </c>
      <c r="D40" s="47">
        <v>1.2</v>
      </c>
    </row>
    <row r="41" spans="1:5" x14ac:dyDescent="0.25">
      <c r="B41" s="47" t="s">
        <v>147</v>
      </c>
      <c r="C41" s="47" t="s">
        <v>148</v>
      </c>
      <c r="D41" s="47">
        <v>1.2</v>
      </c>
    </row>
    <row r="42" spans="1:5" ht="17.25" x14ac:dyDescent="0.25">
      <c r="B42" s="47" t="s">
        <v>150</v>
      </c>
      <c r="C42" s="47" t="s">
        <v>151</v>
      </c>
      <c r="D42" s="61">
        <f>500*D40*D40*D41</f>
        <v>864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cálculos</vt:lpstr>
      <vt:lpstr>trocador calor</vt:lpstr>
      <vt:lpstr>tubulação 25</vt:lpstr>
      <vt:lpstr>tubulação 32</vt:lpstr>
    </vt:vector>
  </TitlesOfParts>
  <Company>Blount Industrial ltda.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Ferreira de Castro</dc:creator>
  <cp:lastModifiedBy>Walter Nikkel</cp:lastModifiedBy>
  <cp:lastPrinted>2014-08-26T17:38:40Z</cp:lastPrinted>
  <dcterms:created xsi:type="dcterms:W3CDTF">2013-10-08T19:30:48Z</dcterms:created>
  <dcterms:modified xsi:type="dcterms:W3CDTF">2016-06-16T20:13:02Z</dcterms:modified>
</cp:coreProperties>
</file>